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N:\Forschung\EBC0456_BMWi_dECOnhealth_NK_AT\Data\Modeling\ModelingInputs\BuildingPlanExcel\UKA\"/>
    </mc:Choice>
  </mc:AlternateContent>
  <bookViews>
    <workbookView xWindow="16920" yWindow="2400" windowWidth="21600" windowHeight="11400" tabRatio="797" activeTab="3"/>
  </bookViews>
  <sheets>
    <sheet name="GeneralNotes" sheetId="12" r:id="rId1"/>
    <sheet name="Usage_Types" sheetId="24" r:id="rId2"/>
    <sheet name="Orientation" sheetId="15" r:id="rId3"/>
    <sheet name="Constants" sheetId="14" r:id="rId4"/>
    <sheet name="B1" sheetId="25" r:id="rId5"/>
    <sheet name="B2" sheetId="50" r:id="rId6"/>
    <sheet name="C1" sheetId="31" r:id="rId7"/>
    <sheet name="C2" sheetId="51" r:id="rId8"/>
    <sheet name="01" sheetId="23" r:id="rId9"/>
    <sheet name="02" sheetId="52" r:id="rId10"/>
    <sheet name="03" sheetId="28" r:id="rId11"/>
    <sheet name="04" sheetId="29" r:id="rId12"/>
    <sheet name="05" sheetId="39" r:id="rId13"/>
    <sheet name="06" sheetId="40" r:id="rId14"/>
    <sheet name="07" sheetId="27" r:id="rId15"/>
    <sheet name="08" sheetId="32" r:id="rId16"/>
    <sheet name="09" sheetId="33" r:id="rId17"/>
    <sheet name="11" sheetId="36" r:id="rId18"/>
    <sheet name="12" sheetId="37" r:id="rId19"/>
    <sheet name="13" sheetId="38" r:id="rId20"/>
    <sheet name="14" sheetId="45" r:id="rId21"/>
    <sheet name="15" sheetId="46" r:id="rId22"/>
    <sheet name="16" sheetId="47" r:id="rId23"/>
    <sheet name="17" sheetId="48" r:id="rId24"/>
    <sheet name="18" sheetId="49" r:id="rId25"/>
    <sheet name="19" sheetId="30" r:id="rId26"/>
    <sheet name="20" sheetId="53" r:id="rId27"/>
    <sheet name="21" sheetId="41" r:id="rId28"/>
    <sheet name="22" sheetId="42" r:id="rId29"/>
    <sheet name="23" sheetId="54" r:id="rId30"/>
    <sheet name="24" sheetId="55" r:id="rId31"/>
  </sheet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W46" i="55" l="1"/>
  <c r="V46" i="55"/>
  <c r="S46" i="55"/>
  <c r="T46" i="55" s="1"/>
  <c r="Q46" i="55"/>
  <c r="P46" i="55"/>
  <c r="N46" i="55"/>
  <c r="M46" i="55" s="1"/>
  <c r="L46" i="55"/>
  <c r="I46" i="55"/>
  <c r="W45" i="55"/>
  <c r="V45" i="55"/>
  <c r="P45" i="55"/>
  <c r="Q45" i="55" s="1"/>
  <c r="L45" i="55"/>
  <c r="W44" i="55"/>
  <c r="V44" i="55"/>
  <c r="P44" i="55"/>
  <c r="N44" i="55" s="1"/>
  <c r="M44" i="55" s="1"/>
  <c r="L44" i="55"/>
  <c r="I44" i="55"/>
  <c r="S44" i="55" s="1"/>
  <c r="T44" i="55" s="1"/>
  <c r="W43" i="55"/>
  <c r="V43" i="55"/>
  <c r="S43" i="55"/>
  <c r="T43" i="55" s="1"/>
  <c r="Q43" i="55"/>
  <c r="P43" i="55"/>
  <c r="N43" i="55"/>
  <c r="M43" i="55" s="1"/>
  <c r="L43" i="55"/>
  <c r="W42" i="55"/>
  <c r="V42" i="55"/>
  <c r="S42" i="55"/>
  <c r="T42" i="55" s="1"/>
  <c r="Q42" i="55"/>
  <c r="P42" i="55"/>
  <c r="N42" i="55"/>
  <c r="M42" i="55" s="1"/>
  <c r="L42" i="55"/>
  <c r="I42" i="55"/>
  <c r="W41" i="55"/>
  <c r="V41" i="55"/>
  <c r="P41" i="55"/>
  <c r="S41" i="55" s="1"/>
  <c r="T41" i="55" s="1"/>
  <c r="L41" i="55"/>
  <c r="W40" i="55"/>
  <c r="V40" i="55"/>
  <c r="P40" i="55"/>
  <c r="Q40" i="55" s="1"/>
  <c r="L40" i="55"/>
  <c r="I40" i="55"/>
  <c r="S40" i="55" s="1"/>
  <c r="T40" i="55" s="1"/>
  <c r="W39" i="55"/>
  <c r="V39" i="55"/>
  <c r="S39" i="55"/>
  <c r="T39" i="55" s="1"/>
  <c r="Q39" i="55"/>
  <c r="P39" i="55"/>
  <c r="N39" i="55"/>
  <c r="M39" i="55" s="1"/>
  <c r="L39" i="55"/>
  <c r="W38" i="55"/>
  <c r="V38" i="55"/>
  <c r="S38" i="55"/>
  <c r="T38" i="55" s="1"/>
  <c r="Q38" i="55"/>
  <c r="P38" i="55"/>
  <c r="N38" i="55"/>
  <c r="M38" i="55" s="1"/>
  <c r="L38" i="55"/>
  <c r="I38" i="55"/>
  <c r="W37" i="55"/>
  <c r="V37" i="55"/>
  <c r="P37" i="55"/>
  <c r="Q37" i="55" s="1"/>
  <c r="L37" i="55"/>
  <c r="W36" i="55"/>
  <c r="V36" i="55"/>
  <c r="P36" i="55"/>
  <c r="N36" i="55" s="1"/>
  <c r="M36" i="55" s="1"/>
  <c r="L36" i="55"/>
  <c r="I36" i="55"/>
  <c r="S36" i="55" s="1"/>
  <c r="T36" i="55" s="1"/>
  <c r="W35" i="55"/>
  <c r="V35" i="55"/>
  <c r="S35" i="55"/>
  <c r="T35" i="55" s="1"/>
  <c r="Q35" i="55"/>
  <c r="P35" i="55"/>
  <c r="N35" i="55"/>
  <c r="M35" i="55" s="1"/>
  <c r="L35" i="55"/>
  <c r="I35" i="55"/>
  <c r="W34" i="55"/>
  <c r="V34" i="55"/>
  <c r="P34" i="55"/>
  <c r="Q34" i="55" s="1"/>
  <c r="L34" i="55"/>
  <c r="W33" i="55"/>
  <c r="V33" i="55"/>
  <c r="P33" i="55"/>
  <c r="N33" i="55" s="1"/>
  <c r="M33" i="55" s="1"/>
  <c r="L33" i="55"/>
  <c r="I33" i="55"/>
  <c r="S33" i="55" s="1"/>
  <c r="T33" i="55" s="1"/>
  <c r="W32" i="55"/>
  <c r="V32" i="55"/>
  <c r="S32" i="55"/>
  <c r="T32" i="55" s="1"/>
  <c r="Q32" i="55"/>
  <c r="R32" i="55" s="1"/>
  <c r="P32" i="55"/>
  <c r="N32" i="55"/>
  <c r="M32" i="55" s="1"/>
  <c r="L32" i="55"/>
  <c r="I32" i="55"/>
  <c r="W31" i="55"/>
  <c r="V31" i="55"/>
  <c r="P31" i="55"/>
  <c r="Q31" i="55" s="1"/>
  <c r="L31" i="55"/>
  <c r="W30" i="55"/>
  <c r="V30" i="55"/>
  <c r="P30" i="55"/>
  <c r="N30" i="55" s="1"/>
  <c r="M30" i="55" s="1"/>
  <c r="L30" i="55"/>
  <c r="I30" i="55"/>
  <c r="S30" i="55" s="1"/>
  <c r="T30" i="55" s="1"/>
  <c r="W29" i="55"/>
  <c r="V29" i="55"/>
  <c r="S29" i="55"/>
  <c r="T29" i="55" s="1"/>
  <c r="Q29" i="55"/>
  <c r="R29" i="55" s="1"/>
  <c r="P29" i="55"/>
  <c r="N29" i="55"/>
  <c r="M29" i="55" s="1"/>
  <c r="L29" i="55"/>
  <c r="W28" i="55"/>
  <c r="V28" i="55"/>
  <c r="S28" i="55"/>
  <c r="T28" i="55" s="1"/>
  <c r="Q28" i="55"/>
  <c r="R28" i="55" s="1"/>
  <c r="P28" i="55"/>
  <c r="N28" i="55"/>
  <c r="M28" i="55" s="1"/>
  <c r="L28" i="55"/>
  <c r="I28" i="55"/>
  <c r="W27" i="55"/>
  <c r="V27" i="55"/>
  <c r="P27" i="55"/>
  <c r="L27" i="55"/>
  <c r="W26" i="55"/>
  <c r="V26" i="55"/>
  <c r="P26" i="55"/>
  <c r="L26" i="55"/>
  <c r="I26" i="55"/>
  <c r="S26" i="55" s="1"/>
  <c r="T26" i="55" s="1"/>
  <c r="H26" i="55"/>
  <c r="W25" i="55"/>
  <c r="V25" i="55"/>
  <c r="P25" i="55"/>
  <c r="L25" i="55"/>
  <c r="F25" i="55"/>
  <c r="W24" i="55"/>
  <c r="V24" i="55"/>
  <c r="S24" i="55"/>
  <c r="T24" i="55" s="1"/>
  <c r="Q24" i="55"/>
  <c r="P24" i="55"/>
  <c r="N24" i="55"/>
  <c r="M24" i="55" s="1"/>
  <c r="L24" i="55"/>
  <c r="I24" i="55"/>
  <c r="W23" i="55"/>
  <c r="V23" i="55"/>
  <c r="P23" i="55"/>
  <c r="L23" i="55"/>
  <c r="I23" i="55"/>
  <c r="W22" i="55"/>
  <c r="V22" i="55"/>
  <c r="S22" i="55"/>
  <c r="T22" i="55" s="1"/>
  <c r="Q22" i="55"/>
  <c r="R22" i="55" s="1"/>
  <c r="P22" i="55"/>
  <c r="N22" i="55"/>
  <c r="M22" i="55" s="1"/>
  <c r="L22" i="55"/>
  <c r="I22" i="55"/>
  <c r="W21" i="55"/>
  <c r="V21" i="55"/>
  <c r="P21" i="55"/>
  <c r="L21" i="55"/>
  <c r="W20" i="55"/>
  <c r="V20" i="55"/>
  <c r="P20" i="55"/>
  <c r="L20" i="55"/>
  <c r="I20" i="55"/>
  <c r="S20" i="55" s="1"/>
  <c r="T20" i="55" s="1"/>
  <c r="W19" i="55"/>
  <c r="V19" i="55"/>
  <c r="S19" i="55"/>
  <c r="T19" i="55" s="1"/>
  <c r="Q19" i="55"/>
  <c r="P19" i="55"/>
  <c r="N19" i="55"/>
  <c r="M19" i="55" s="1"/>
  <c r="L19" i="55"/>
  <c r="W18" i="55"/>
  <c r="V18" i="55"/>
  <c r="S18" i="55"/>
  <c r="T18" i="55" s="1"/>
  <c r="Q18" i="55"/>
  <c r="P18" i="55"/>
  <c r="N18" i="55"/>
  <c r="M18" i="55" s="1"/>
  <c r="L18" i="55"/>
  <c r="I18" i="55"/>
  <c r="W17" i="55"/>
  <c r="V17" i="55"/>
  <c r="P17" i="55"/>
  <c r="L17" i="55"/>
  <c r="W16" i="55"/>
  <c r="V16" i="55"/>
  <c r="P16" i="55"/>
  <c r="L16" i="55"/>
  <c r="I16" i="55"/>
  <c r="S16" i="55" s="1"/>
  <c r="T16" i="55" s="1"/>
  <c r="W15" i="55"/>
  <c r="V15" i="55"/>
  <c r="S15" i="55"/>
  <c r="T15" i="55" s="1"/>
  <c r="Q15" i="55"/>
  <c r="R15" i="55" s="1"/>
  <c r="P15" i="55"/>
  <c r="N15" i="55"/>
  <c r="M15" i="55" s="1"/>
  <c r="L15" i="55"/>
  <c r="W14" i="55"/>
  <c r="V14" i="55"/>
  <c r="S14" i="55"/>
  <c r="T14" i="55" s="1"/>
  <c r="Q14" i="55"/>
  <c r="R14" i="55" s="1"/>
  <c r="P14" i="55"/>
  <c r="N14" i="55"/>
  <c r="M14" i="55" s="1"/>
  <c r="L14" i="55"/>
  <c r="I14" i="55"/>
  <c r="W13" i="55"/>
  <c r="V13" i="55"/>
  <c r="P13" i="55"/>
  <c r="L13" i="55"/>
  <c r="I13" i="55"/>
  <c r="W12" i="55"/>
  <c r="V12" i="55"/>
  <c r="S12" i="55"/>
  <c r="T12" i="55" s="1"/>
  <c r="Q12" i="55"/>
  <c r="R12" i="55" s="1"/>
  <c r="P12" i="55"/>
  <c r="N12" i="55"/>
  <c r="M12" i="55" s="1"/>
  <c r="L12" i="55"/>
  <c r="I12" i="55"/>
  <c r="W11" i="55"/>
  <c r="V11" i="55"/>
  <c r="P11" i="55"/>
  <c r="L11" i="55"/>
  <c r="W10" i="55"/>
  <c r="V10" i="55"/>
  <c r="P10" i="55"/>
  <c r="L10" i="55"/>
  <c r="I10" i="55"/>
  <c r="S10" i="55" s="1"/>
  <c r="T10" i="55" s="1"/>
  <c r="W9" i="55"/>
  <c r="V9" i="55"/>
  <c r="S9" i="55"/>
  <c r="T9" i="55" s="1"/>
  <c r="Q9" i="55"/>
  <c r="P9" i="55"/>
  <c r="N9" i="55"/>
  <c r="M9" i="55" s="1"/>
  <c r="L9" i="55"/>
  <c r="I9" i="55"/>
  <c r="W8" i="55"/>
  <c r="V8" i="55"/>
  <c r="P8" i="55"/>
  <c r="L8" i="55"/>
  <c r="W7" i="55"/>
  <c r="V7" i="55"/>
  <c r="P7" i="55"/>
  <c r="L7" i="55"/>
  <c r="I7" i="55"/>
  <c r="W6" i="55"/>
  <c r="V6" i="55"/>
  <c r="S6" i="55"/>
  <c r="T6" i="55" s="1"/>
  <c r="Q6" i="55"/>
  <c r="P6" i="55"/>
  <c r="N6" i="55"/>
  <c r="M6" i="55" s="1"/>
  <c r="L6" i="55"/>
  <c r="W5" i="55"/>
  <c r="V5" i="55"/>
  <c r="S5" i="55"/>
  <c r="T5" i="55" s="1"/>
  <c r="Q5" i="55"/>
  <c r="P5" i="55"/>
  <c r="N5" i="55"/>
  <c r="M5" i="55" s="1"/>
  <c r="L5" i="55"/>
  <c r="I5" i="55"/>
  <c r="W4" i="55"/>
  <c r="V4" i="55"/>
  <c r="P4" i="55"/>
  <c r="L4" i="55"/>
  <c r="F4" i="55"/>
  <c r="W3" i="55"/>
  <c r="V3" i="55"/>
  <c r="S3" i="55"/>
  <c r="T3" i="55" s="1"/>
  <c r="Q3" i="55"/>
  <c r="P3" i="55"/>
  <c r="N3" i="55"/>
  <c r="M3" i="55" s="1"/>
  <c r="L3" i="55"/>
  <c r="I3" i="55"/>
  <c r="W2" i="55"/>
  <c r="V2" i="55"/>
  <c r="P2" i="55"/>
  <c r="L2" i="55"/>
  <c r="I2" i="55"/>
  <c r="S2" i="55" s="1"/>
  <c r="T2" i="55" s="1"/>
  <c r="R3" i="55" l="1"/>
  <c r="R24" i="55"/>
  <c r="R5" i="55"/>
  <c r="R38" i="55"/>
  <c r="R42" i="55"/>
  <c r="R46" i="55"/>
  <c r="R35" i="55"/>
  <c r="R39" i="55"/>
  <c r="R43" i="55"/>
  <c r="Q21" i="55"/>
  <c r="S21" i="55"/>
  <c r="T21" i="55" s="1"/>
  <c r="N21" i="55"/>
  <c r="M21" i="55" s="1"/>
  <c r="N23" i="55"/>
  <c r="M23" i="55" s="1"/>
  <c r="Q23" i="55"/>
  <c r="Q25" i="55"/>
  <c r="S25" i="55"/>
  <c r="T25" i="55" s="1"/>
  <c r="N25" i="55"/>
  <c r="M25" i="55" s="1"/>
  <c r="S8" i="55"/>
  <c r="T8" i="55" s="1"/>
  <c r="N8" i="55"/>
  <c r="M8" i="55" s="1"/>
  <c r="Q8" i="55"/>
  <c r="R8" i="55" s="1"/>
  <c r="Q10" i="55"/>
  <c r="N10" i="55"/>
  <c r="M10" i="55" s="1"/>
  <c r="S13" i="55"/>
  <c r="T13" i="55" s="1"/>
  <c r="N20" i="55"/>
  <c r="M20" i="55" s="1"/>
  <c r="Q20" i="55"/>
  <c r="S23" i="55"/>
  <c r="T23" i="55" s="1"/>
  <c r="Q26" i="55"/>
  <c r="N26" i="55"/>
  <c r="M26" i="55" s="1"/>
  <c r="S11" i="55"/>
  <c r="T11" i="55" s="1"/>
  <c r="N11" i="55"/>
  <c r="M11" i="55" s="1"/>
  <c r="Q11" i="55"/>
  <c r="R11" i="55" s="1"/>
  <c r="Q13" i="55"/>
  <c r="N13" i="55"/>
  <c r="M13" i="55" s="1"/>
  <c r="Q7" i="55"/>
  <c r="N7" i="55"/>
  <c r="M7" i="55" s="1"/>
  <c r="R9" i="55"/>
  <c r="S17" i="55"/>
  <c r="T17" i="55" s="1"/>
  <c r="N17" i="55"/>
  <c r="M17" i="55" s="1"/>
  <c r="Q17" i="55"/>
  <c r="R17" i="55" s="1"/>
  <c r="R19" i="55"/>
  <c r="S27" i="55"/>
  <c r="T27" i="55" s="1"/>
  <c r="N27" i="55"/>
  <c r="M27" i="55" s="1"/>
  <c r="Q27" i="55"/>
  <c r="R27" i="55" s="1"/>
  <c r="N2" i="55"/>
  <c r="M2" i="55" s="1"/>
  <c r="Q2" i="55"/>
  <c r="Q4" i="55"/>
  <c r="S4" i="55"/>
  <c r="T4" i="55" s="1"/>
  <c r="N4" i="55"/>
  <c r="M4" i="55" s="1"/>
  <c r="R6" i="55"/>
  <c r="S7" i="55"/>
  <c r="T7" i="55" s="1"/>
  <c r="Q16" i="55"/>
  <c r="N16" i="55"/>
  <c r="M16" i="55" s="1"/>
  <c r="R18" i="55"/>
  <c r="Q30" i="55"/>
  <c r="R30" i="55" s="1"/>
  <c r="N31" i="55"/>
  <c r="M31" i="55" s="1"/>
  <c r="S31" i="55"/>
  <c r="T31" i="55" s="1"/>
  <c r="Q33" i="55"/>
  <c r="R33" i="55" s="1"/>
  <c r="N34" i="55"/>
  <c r="M34" i="55" s="1"/>
  <c r="S34" i="55"/>
  <c r="T34" i="55" s="1"/>
  <c r="Q36" i="55"/>
  <c r="R36" i="55" s="1"/>
  <c r="N37" i="55"/>
  <c r="M37" i="55" s="1"/>
  <c r="S37" i="55"/>
  <c r="T37" i="55" s="1"/>
  <c r="N40" i="55"/>
  <c r="M40" i="55" s="1"/>
  <c r="Q41" i="55"/>
  <c r="Q44" i="55"/>
  <c r="R44" i="55" s="1"/>
  <c r="N45" i="55"/>
  <c r="M45" i="55" s="1"/>
  <c r="S45" i="55"/>
  <c r="T45" i="55" s="1"/>
  <c r="N41" i="55"/>
  <c r="M41" i="55" s="1"/>
  <c r="W46" i="54"/>
  <c r="V46" i="54"/>
  <c r="Q46" i="54"/>
  <c r="P46" i="54"/>
  <c r="N46" i="54" s="1"/>
  <c r="M46" i="54" s="1"/>
  <c r="L46" i="54"/>
  <c r="I46" i="54"/>
  <c r="S46" i="54" s="1"/>
  <c r="T46" i="54" s="1"/>
  <c r="W45" i="54"/>
  <c r="V45" i="54"/>
  <c r="P45" i="54"/>
  <c r="Q45" i="54" s="1"/>
  <c r="L45" i="54"/>
  <c r="W44" i="54"/>
  <c r="V44" i="54"/>
  <c r="S44" i="54"/>
  <c r="T44" i="54" s="1"/>
  <c r="R44" i="54"/>
  <c r="Q44" i="54"/>
  <c r="P44" i="54"/>
  <c r="N44" i="54"/>
  <c r="M44" i="54"/>
  <c r="L44" i="54"/>
  <c r="I44" i="54"/>
  <c r="W43" i="54"/>
  <c r="V43" i="54"/>
  <c r="Q43" i="54"/>
  <c r="P43" i="54"/>
  <c r="S43" i="54" s="1"/>
  <c r="T43" i="54" s="1"/>
  <c r="L43" i="54"/>
  <c r="W42" i="54"/>
  <c r="V42" i="54"/>
  <c r="S42" i="54"/>
  <c r="T42" i="54" s="1"/>
  <c r="P42" i="54"/>
  <c r="Q42" i="54" s="1"/>
  <c r="N42" i="54"/>
  <c r="M42" i="54" s="1"/>
  <c r="L42" i="54"/>
  <c r="I42" i="54"/>
  <c r="W41" i="54"/>
  <c r="V41" i="54"/>
  <c r="S41" i="54"/>
  <c r="T41" i="54" s="1"/>
  <c r="Q41" i="54"/>
  <c r="P41" i="54"/>
  <c r="N41" i="54"/>
  <c r="R41" i="54" s="1"/>
  <c r="L41" i="54"/>
  <c r="W40" i="54"/>
  <c r="V40" i="54"/>
  <c r="P40" i="54"/>
  <c r="Q40" i="54" s="1"/>
  <c r="L40" i="54"/>
  <c r="I40" i="54"/>
  <c r="S40" i="54" s="1"/>
  <c r="T40" i="54" s="1"/>
  <c r="W39" i="54"/>
  <c r="V39" i="54"/>
  <c r="S39" i="54"/>
  <c r="T39" i="54" s="1"/>
  <c r="P39" i="54"/>
  <c r="Q39" i="54" s="1"/>
  <c r="N39" i="54"/>
  <c r="M39" i="54" s="1"/>
  <c r="L39" i="54"/>
  <c r="W38" i="54"/>
  <c r="V38" i="54"/>
  <c r="Q38" i="54"/>
  <c r="P38" i="54"/>
  <c r="N38" i="54" s="1"/>
  <c r="M38" i="54" s="1"/>
  <c r="L38" i="54"/>
  <c r="I38" i="54"/>
  <c r="S38" i="54" s="1"/>
  <c r="T38" i="54" s="1"/>
  <c r="W37" i="54"/>
  <c r="V37" i="54"/>
  <c r="P37" i="54"/>
  <c r="Q37" i="54" s="1"/>
  <c r="L37" i="54"/>
  <c r="W36" i="54"/>
  <c r="V36" i="54"/>
  <c r="S36" i="54"/>
  <c r="T36" i="54" s="1"/>
  <c r="R36" i="54"/>
  <c r="Q36" i="54"/>
  <c r="P36" i="54"/>
  <c r="N36" i="54"/>
  <c r="M36" i="54"/>
  <c r="L36" i="54"/>
  <c r="I36" i="54"/>
  <c r="W35" i="54"/>
  <c r="V35" i="54"/>
  <c r="Q35" i="54"/>
  <c r="P35" i="54"/>
  <c r="N35" i="54" s="1"/>
  <c r="M35" i="54" s="1"/>
  <c r="L35" i="54"/>
  <c r="I35" i="54"/>
  <c r="S35" i="54" s="1"/>
  <c r="T35" i="54" s="1"/>
  <c r="W34" i="54"/>
  <c r="V34" i="54"/>
  <c r="P34" i="54"/>
  <c r="Q34" i="54" s="1"/>
  <c r="L34" i="54"/>
  <c r="W33" i="54"/>
  <c r="V33" i="54"/>
  <c r="S33" i="54"/>
  <c r="T33" i="54" s="1"/>
  <c r="R33" i="54"/>
  <c r="Q33" i="54"/>
  <c r="P33" i="54"/>
  <c r="N33" i="54"/>
  <c r="M33" i="54"/>
  <c r="L33" i="54"/>
  <c r="I33" i="54"/>
  <c r="W32" i="54"/>
  <c r="V32" i="54"/>
  <c r="Q32" i="54"/>
  <c r="P32" i="54"/>
  <c r="N32" i="54" s="1"/>
  <c r="M32" i="54" s="1"/>
  <c r="L32" i="54"/>
  <c r="I32" i="54"/>
  <c r="S32" i="54" s="1"/>
  <c r="T32" i="54" s="1"/>
  <c r="W31" i="54"/>
  <c r="V31" i="54"/>
  <c r="P31" i="54"/>
  <c r="Q31" i="54" s="1"/>
  <c r="L31" i="54"/>
  <c r="W30" i="54"/>
  <c r="V30" i="54"/>
  <c r="S30" i="54"/>
  <c r="T30" i="54" s="1"/>
  <c r="R30" i="54"/>
  <c r="Q30" i="54"/>
  <c r="P30" i="54"/>
  <c r="N30" i="54"/>
  <c r="M30" i="54"/>
  <c r="L30" i="54"/>
  <c r="I30" i="54"/>
  <c r="W29" i="54"/>
  <c r="V29" i="54"/>
  <c r="Q29" i="54"/>
  <c r="P29" i="54"/>
  <c r="S29" i="54" s="1"/>
  <c r="T29" i="54" s="1"/>
  <c r="L29" i="54"/>
  <c r="W28" i="54"/>
  <c r="V28" i="54"/>
  <c r="S28" i="54"/>
  <c r="T28" i="54" s="1"/>
  <c r="P28" i="54"/>
  <c r="Q28" i="54" s="1"/>
  <c r="N28" i="54"/>
  <c r="M28" i="54" s="1"/>
  <c r="L28" i="54"/>
  <c r="I28" i="54"/>
  <c r="W27" i="54"/>
  <c r="V27" i="54"/>
  <c r="S27" i="54"/>
  <c r="T27" i="54" s="1"/>
  <c r="Q27" i="54"/>
  <c r="P27" i="54"/>
  <c r="N27" i="54"/>
  <c r="R27" i="54" s="1"/>
  <c r="L27" i="54"/>
  <c r="W26" i="54"/>
  <c r="V26" i="54"/>
  <c r="P26" i="54"/>
  <c r="Q26" i="54" s="1"/>
  <c r="L26" i="54"/>
  <c r="I26" i="54"/>
  <c r="S26" i="54" s="1"/>
  <c r="T26" i="54" s="1"/>
  <c r="H26" i="54"/>
  <c r="W25" i="54"/>
  <c r="V25" i="54"/>
  <c r="P25" i="54"/>
  <c r="Q25" i="54" s="1"/>
  <c r="L25" i="54"/>
  <c r="F25" i="54"/>
  <c r="W24" i="54"/>
  <c r="V24" i="54"/>
  <c r="S24" i="54"/>
  <c r="T24" i="54" s="1"/>
  <c r="P24" i="54"/>
  <c r="Q24" i="54" s="1"/>
  <c r="R24" i="54" s="1"/>
  <c r="N24" i="54"/>
  <c r="M24" i="54" s="1"/>
  <c r="L24" i="54"/>
  <c r="I24" i="54"/>
  <c r="W23" i="54"/>
  <c r="V23" i="54"/>
  <c r="S23" i="54"/>
  <c r="T23" i="54" s="1"/>
  <c r="R23" i="54"/>
  <c r="Q23" i="54"/>
  <c r="P23" i="54"/>
  <c r="N23" i="54"/>
  <c r="M23" i="54"/>
  <c r="L23" i="54"/>
  <c r="I23" i="54"/>
  <c r="W22" i="54"/>
  <c r="V22" i="54"/>
  <c r="Q22" i="54"/>
  <c r="P22" i="54"/>
  <c r="N22" i="54"/>
  <c r="M22" i="54" s="1"/>
  <c r="L22" i="54"/>
  <c r="I22" i="54"/>
  <c r="S22" i="54" s="1"/>
  <c r="T22" i="54" s="1"/>
  <c r="W21" i="54"/>
  <c r="V21" i="54"/>
  <c r="P21" i="54"/>
  <c r="Q21" i="54" s="1"/>
  <c r="L21" i="54"/>
  <c r="W20" i="54"/>
  <c r="V20" i="54"/>
  <c r="P20" i="54"/>
  <c r="Q20" i="54" s="1"/>
  <c r="R20" i="54" s="1"/>
  <c r="N20" i="54"/>
  <c r="M20" i="54" s="1"/>
  <c r="L20" i="54"/>
  <c r="I20" i="54"/>
  <c r="S20" i="54" s="1"/>
  <c r="T20" i="54" s="1"/>
  <c r="W19" i="54"/>
  <c r="V19" i="54"/>
  <c r="Q19" i="54"/>
  <c r="R19" i="54" s="1"/>
  <c r="P19" i="54"/>
  <c r="S19" i="54" s="1"/>
  <c r="T19" i="54" s="1"/>
  <c r="N19" i="54"/>
  <c r="M19" i="54" s="1"/>
  <c r="L19" i="54"/>
  <c r="W18" i="54"/>
  <c r="V18" i="54"/>
  <c r="S18" i="54"/>
  <c r="T18" i="54" s="1"/>
  <c r="Q18" i="54"/>
  <c r="P18" i="54"/>
  <c r="N18" i="54"/>
  <c r="M18" i="54" s="1"/>
  <c r="L18" i="54"/>
  <c r="I18" i="54"/>
  <c r="W17" i="54"/>
  <c r="V17" i="54"/>
  <c r="P17" i="54"/>
  <c r="S17" i="54" s="1"/>
  <c r="T17" i="54" s="1"/>
  <c r="L17" i="54"/>
  <c r="W16" i="54"/>
  <c r="V16" i="54"/>
  <c r="P16" i="54"/>
  <c r="Q16" i="54" s="1"/>
  <c r="L16" i="54"/>
  <c r="I16" i="54"/>
  <c r="S16" i="54" s="1"/>
  <c r="T16" i="54" s="1"/>
  <c r="W15" i="54"/>
  <c r="V15" i="54"/>
  <c r="S15" i="54"/>
  <c r="T15" i="54" s="1"/>
  <c r="P15" i="54"/>
  <c r="Q15" i="54" s="1"/>
  <c r="N15" i="54"/>
  <c r="M15" i="54" s="1"/>
  <c r="L15" i="54"/>
  <c r="W14" i="54"/>
  <c r="V14" i="54"/>
  <c r="Q14" i="54"/>
  <c r="P14" i="54"/>
  <c r="N14" i="54" s="1"/>
  <c r="M14" i="54" s="1"/>
  <c r="L14" i="54"/>
  <c r="I14" i="54"/>
  <c r="S14" i="54" s="1"/>
  <c r="T14" i="54" s="1"/>
  <c r="W13" i="54"/>
  <c r="V13" i="54"/>
  <c r="P13" i="54"/>
  <c r="Q13" i="54" s="1"/>
  <c r="L13" i="54"/>
  <c r="I13" i="54"/>
  <c r="S13" i="54" s="1"/>
  <c r="T13" i="54" s="1"/>
  <c r="W12" i="54"/>
  <c r="V12" i="54"/>
  <c r="S12" i="54"/>
  <c r="T12" i="54" s="1"/>
  <c r="P12" i="54"/>
  <c r="Q12" i="54" s="1"/>
  <c r="R12" i="54" s="1"/>
  <c r="N12" i="54"/>
  <c r="M12" i="54" s="1"/>
  <c r="L12" i="54"/>
  <c r="I12" i="54"/>
  <c r="W11" i="54"/>
  <c r="V11" i="54"/>
  <c r="P11" i="54"/>
  <c r="S11" i="54" s="1"/>
  <c r="T11" i="54" s="1"/>
  <c r="L11" i="54"/>
  <c r="W10" i="54"/>
  <c r="V10" i="54"/>
  <c r="P10" i="54"/>
  <c r="Q10" i="54" s="1"/>
  <c r="L10" i="54"/>
  <c r="I10" i="54"/>
  <c r="S10" i="54" s="1"/>
  <c r="T10" i="54" s="1"/>
  <c r="W9" i="54"/>
  <c r="V9" i="54"/>
  <c r="S9" i="54"/>
  <c r="T9" i="54" s="1"/>
  <c r="Q9" i="54"/>
  <c r="R9" i="54" s="1"/>
  <c r="P9" i="54"/>
  <c r="N9" i="54"/>
  <c r="M9" i="54" s="1"/>
  <c r="L9" i="54"/>
  <c r="I9" i="54"/>
  <c r="W8" i="54"/>
  <c r="V8" i="54"/>
  <c r="P8" i="54"/>
  <c r="S8" i="54" s="1"/>
  <c r="T8" i="54" s="1"/>
  <c r="L8" i="54"/>
  <c r="W7" i="54"/>
  <c r="V7" i="54"/>
  <c r="P7" i="54"/>
  <c r="Q7" i="54" s="1"/>
  <c r="L7" i="54"/>
  <c r="I7" i="54"/>
  <c r="S7" i="54" s="1"/>
  <c r="T7" i="54" s="1"/>
  <c r="W6" i="54"/>
  <c r="V6" i="54"/>
  <c r="S6" i="54"/>
  <c r="T6" i="54" s="1"/>
  <c r="Q6" i="54"/>
  <c r="P6" i="54"/>
  <c r="N6" i="54"/>
  <c r="M6" i="54" s="1"/>
  <c r="L6" i="54"/>
  <c r="W5" i="54"/>
  <c r="V5" i="54"/>
  <c r="Q5" i="54"/>
  <c r="R5" i="54" s="1"/>
  <c r="P5" i="54"/>
  <c r="N5" i="54"/>
  <c r="M5" i="54" s="1"/>
  <c r="L5" i="54"/>
  <c r="I5" i="54"/>
  <c r="S5" i="54" s="1"/>
  <c r="T5" i="54" s="1"/>
  <c r="W4" i="54"/>
  <c r="V4" i="54"/>
  <c r="P4" i="54"/>
  <c r="Q4" i="54" s="1"/>
  <c r="L4" i="54"/>
  <c r="F4" i="54"/>
  <c r="W3" i="54"/>
  <c r="V3" i="54"/>
  <c r="S3" i="54"/>
  <c r="T3" i="54" s="1"/>
  <c r="Q3" i="54"/>
  <c r="R3" i="54" s="1"/>
  <c r="P3" i="54"/>
  <c r="N3" i="54"/>
  <c r="M3" i="54" s="1"/>
  <c r="L3" i="54"/>
  <c r="I3" i="54"/>
  <c r="W2" i="54"/>
  <c r="V2" i="54"/>
  <c r="Q2" i="54"/>
  <c r="P2" i="54"/>
  <c r="N2" i="54" s="1"/>
  <c r="L2" i="54"/>
  <c r="I2" i="54"/>
  <c r="S2" i="54" s="1"/>
  <c r="T2" i="54" s="1"/>
  <c r="I46" i="42"/>
  <c r="I40" i="42"/>
  <c r="W39" i="42"/>
  <c r="V39" i="42"/>
  <c r="P39" i="42"/>
  <c r="Q39" i="42" s="1"/>
  <c r="L39" i="42"/>
  <c r="W38" i="42"/>
  <c r="V38" i="42"/>
  <c r="S38" i="42"/>
  <c r="T38" i="42" s="1"/>
  <c r="P38" i="42"/>
  <c r="Q38" i="42" s="1"/>
  <c r="R38" i="42" s="1"/>
  <c r="N38" i="42"/>
  <c r="M38" i="42" s="1"/>
  <c r="L38" i="42"/>
  <c r="I38" i="42"/>
  <c r="W36" i="42"/>
  <c r="V36" i="42"/>
  <c r="S36" i="42"/>
  <c r="T36" i="42" s="1"/>
  <c r="Q36" i="42"/>
  <c r="R36" i="42" s="1"/>
  <c r="P36" i="42"/>
  <c r="N36" i="42"/>
  <c r="M36" i="42" s="1"/>
  <c r="L36" i="42"/>
  <c r="I36" i="42"/>
  <c r="I35" i="42"/>
  <c r="L35" i="42"/>
  <c r="N35" i="42"/>
  <c r="M35" i="42" s="1"/>
  <c r="P35" i="42"/>
  <c r="Q35" i="42" s="1"/>
  <c r="R35" i="42" s="1"/>
  <c r="S35" i="42"/>
  <c r="T35" i="42" s="1"/>
  <c r="V35" i="42"/>
  <c r="W35" i="42"/>
  <c r="W34" i="42"/>
  <c r="V34" i="42"/>
  <c r="S34" i="42"/>
  <c r="T34" i="42" s="1"/>
  <c r="P34" i="42"/>
  <c r="Q34" i="42" s="1"/>
  <c r="N34" i="42"/>
  <c r="M34" i="42" s="1"/>
  <c r="L34" i="42"/>
  <c r="I33" i="42"/>
  <c r="I32" i="42"/>
  <c r="W31" i="42"/>
  <c r="V31" i="42"/>
  <c r="Q31" i="42"/>
  <c r="P31" i="42"/>
  <c r="S31" i="42" s="1"/>
  <c r="T31" i="42" s="1"/>
  <c r="L31" i="42"/>
  <c r="W30" i="42"/>
  <c r="V30" i="42"/>
  <c r="S30" i="42"/>
  <c r="T30" i="42" s="1"/>
  <c r="P30" i="42"/>
  <c r="Q30" i="42" s="1"/>
  <c r="N30" i="42"/>
  <c r="M30" i="42" s="1"/>
  <c r="L30" i="42"/>
  <c r="I30" i="42"/>
  <c r="W29" i="42"/>
  <c r="V29" i="42"/>
  <c r="P29" i="42"/>
  <c r="Q29" i="42" s="1"/>
  <c r="L29" i="42"/>
  <c r="W28" i="42"/>
  <c r="V28" i="42"/>
  <c r="L28" i="42"/>
  <c r="I28" i="42"/>
  <c r="P28" i="42"/>
  <c r="W21" i="42"/>
  <c r="V21" i="42"/>
  <c r="Q21" i="42"/>
  <c r="P21" i="42"/>
  <c r="S21" i="42" s="1"/>
  <c r="T21" i="42" s="1"/>
  <c r="L21" i="42"/>
  <c r="W20" i="42"/>
  <c r="V20" i="42"/>
  <c r="P20" i="42"/>
  <c r="Q20" i="42" s="1"/>
  <c r="N20" i="42"/>
  <c r="M20" i="42" s="1"/>
  <c r="L20" i="42"/>
  <c r="I20" i="42"/>
  <c r="W17" i="42"/>
  <c r="V17" i="42"/>
  <c r="P17" i="42"/>
  <c r="Q17" i="42" s="1"/>
  <c r="L17" i="42"/>
  <c r="I16" i="42"/>
  <c r="W15" i="42"/>
  <c r="V15" i="42"/>
  <c r="P15" i="42"/>
  <c r="Q15" i="42" s="1"/>
  <c r="L15" i="42"/>
  <c r="I14" i="42"/>
  <c r="I13" i="42"/>
  <c r="I12" i="42"/>
  <c r="I10" i="42"/>
  <c r="I9" i="42"/>
  <c r="I7" i="42"/>
  <c r="R34" i="42" l="1"/>
  <c r="R18" i="54"/>
  <c r="R28" i="54"/>
  <c r="R42" i="54"/>
  <c r="R2" i="55"/>
  <c r="R15" i="54"/>
  <c r="R39" i="54"/>
  <c r="R6" i="54"/>
  <c r="R22" i="54"/>
  <c r="M27" i="54"/>
  <c r="M41" i="54"/>
  <c r="R45" i="55"/>
  <c r="R41" i="55"/>
  <c r="R13" i="55"/>
  <c r="R26" i="55"/>
  <c r="R16" i="55"/>
  <c r="R40" i="55"/>
  <c r="R25" i="55"/>
  <c r="R31" i="55"/>
  <c r="R4" i="55"/>
  <c r="R7" i="55"/>
  <c r="R37" i="55"/>
  <c r="R20" i="55"/>
  <c r="R10" i="55"/>
  <c r="R34" i="55"/>
  <c r="R23" i="55"/>
  <c r="R21" i="55"/>
  <c r="R40" i="54"/>
  <c r="M2" i="54"/>
  <c r="R2" i="54"/>
  <c r="R14" i="54"/>
  <c r="R21" i="54"/>
  <c r="R32" i="54"/>
  <c r="R35" i="54"/>
  <c r="R38" i="54"/>
  <c r="R46" i="54"/>
  <c r="R34" i="54"/>
  <c r="N29" i="54"/>
  <c r="M29" i="54" s="1"/>
  <c r="N43" i="54"/>
  <c r="M43" i="54" s="1"/>
  <c r="N4" i="54"/>
  <c r="M4" i="54" s="1"/>
  <c r="S4" i="54"/>
  <c r="T4" i="54" s="1"/>
  <c r="N7" i="54"/>
  <c r="M7" i="54" s="1"/>
  <c r="Q8" i="54"/>
  <c r="N10" i="54"/>
  <c r="M10" i="54" s="1"/>
  <c r="Q11" i="54"/>
  <c r="N13" i="54"/>
  <c r="M13" i="54" s="1"/>
  <c r="N16" i="54"/>
  <c r="M16" i="54" s="1"/>
  <c r="Q17" i="54"/>
  <c r="N21" i="54"/>
  <c r="M21" i="54" s="1"/>
  <c r="S21" i="54"/>
  <c r="T21" i="54" s="1"/>
  <c r="N25" i="54"/>
  <c r="M25" i="54" s="1"/>
  <c r="S25" i="54"/>
  <c r="T25" i="54" s="1"/>
  <c r="N26" i="54"/>
  <c r="M26" i="54" s="1"/>
  <c r="N31" i="54"/>
  <c r="M31" i="54" s="1"/>
  <c r="S31" i="54"/>
  <c r="T31" i="54" s="1"/>
  <c r="N34" i="54"/>
  <c r="M34" i="54" s="1"/>
  <c r="S34" i="54"/>
  <c r="T34" i="54" s="1"/>
  <c r="N37" i="54"/>
  <c r="M37" i="54" s="1"/>
  <c r="S37" i="54"/>
  <c r="T37" i="54" s="1"/>
  <c r="N40" i="54"/>
  <c r="M40" i="54" s="1"/>
  <c r="N45" i="54"/>
  <c r="M45" i="54" s="1"/>
  <c r="S45" i="54"/>
  <c r="T45" i="54" s="1"/>
  <c r="N8" i="54"/>
  <c r="M8" i="54" s="1"/>
  <c r="N11" i="54"/>
  <c r="M11" i="54" s="1"/>
  <c r="N17" i="54"/>
  <c r="M17" i="54" s="1"/>
  <c r="N39" i="42"/>
  <c r="M39" i="42" s="1"/>
  <c r="S39" i="42"/>
  <c r="T39" i="42" s="1"/>
  <c r="R30" i="42"/>
  <c r="N31" i="42"/>
  <c r="M31" i="42" s="1"/>
  <c r="N28" i="42"/>
  <c r="M28" i="42" s="1"/>
  <c r="Q28" i="42"/>
  <c r="S28" i="42"/>
  <c r="T28" i="42" s="1"/>
  <c r="N29" i="42"/>
  <c r="M29" i="42" s="1"/>
  <c r="S29" i="42"/>
  <c r="T29" i="42" s="1"/>
  <c r="S20" i="42"/>
  <c r="T20" i="42" s="1"/>
  <c r="R20" i="42"/>
  <c r="N21" i="42"/>
  <c r="M21" i="42" s="1"/>
  <c r="N17" i="42"/>
  <c r="M17" i="42" s="1"/>
  <c r="S17" i="42"/>
  <c r="T17" i="42" s="1"/>
  <c r="N15" i="42"/>
  <c r="M15" i="42" s="1"/>
  <c r="S15" i="42"/>
  <c r="T15" i="42" s="1"/>
  <c r="F4" i="42"/>
  <c r="I2" i="42"/>
  <c r="I42" i="41"/>
  <c r="W42" i="41"/>
  <c r="V42" i="41"/>
  <c r="P42" i="41"/>
  <c r="N42" i="41" s="1"/>
  <c r="M42" i="41" s="1"/>
  <c r="L42" i="41"/>
  <c r="W41" i="41"/>
  <c r="V41" i="41"/>
  <c r="P41" i="41"/>
  <c r="Q41" i="41" s="1"/>
  <c r="L41" i="41"/>
  <c r="I41" i="41"/>
  <c r="W40" i="41"/>
  <c r="V40" i="41"/>
  <c r="P40" i="41"/>
  <c r="Q40" i="41" s="1"/>
  <c r="L40" i="41"/>
  <c r="I40" i="41"/>
  <c r="I39" i="41"/>
  <c r="H39" i="41"/>
  <c r="I38" i="41"/>
  <c r="I37" i="41"/>
  <c r="I36" i="41"/>
  <c r="I35" i="41"/>
  <c r="W34" i="41"/>
  <c r="V34" i="41"/>
  <c r="Q34" i="41"/>
  <c r="P34" i="41"/>
  <c r="N34" i="41" s="1"/>
  <c r="M34" i="41" s="1"/>
  <c r="L34" i="41"/>
  <c r="I34" i="41"/>
  <c r="I33" i="41"/>
  <c r="I32" i="41"/>
  <c r="I31" i="41"/>
  <c r="I30" i="41"/>
  <c r="I29" i="41"/>
  <c r="I28" i="41"/>
  <c r="I5" i="41"/>
  <c r="S5" i="41" s="1"/>
  <c r="T5" i="41" s="1"/>
  <c r="L5" i="41"/>
  <c r="P5" i="41"/>
  <c r="N5" i="41" s="1"/>
  <c r="M5" i="41" s="1"/>
  <c r="Q5" i="41"/>
  <c r="R5" i="41" s="1"/>
  <c r="V5" i="41"/>
  <c r="W5" i="41"/>
  <c r="I23" i="41"/>
  <c r="I22" i="41"/>
  <c r="I21" i="41"/>
  <c r="I20" i="41"/>
  <c r="W19" i="41"/>
  <c r="V19" i="41"/>
  <c r="P19" i="41"/>
  <c r="Q19" i="41" s="1"/>
  <c r="L19" i="41"/>
  <c r="I19" i="41"/>
  <c r="S19" i="41" s="1"/>
  <c r="T19" i="41" s="1"/>
  <c r="W18" i="41"/>
  <c r="V18" i="41"/>
  <c r="P18" i="41"/>
  <c r="Q18" i="41" s="1"/>
  <c r="N18" i="41"/>
  <c r="M18" i="41" s="1"/>
  <c r="L18" i="41"/>
  <c r="I18" i="41"/>
  <c r="S18" i="41" s="1"/>
  <c r="T18" i="41" s="1"/>
  <c r="I17" i="41"/>
  <c r="I16" i="41"/>
  <c r="I15" i="41"/>
  <c r="I6" i="41"/>
  <c r="S6" i="41" s="1"/>
  <c r="T6" i="41" s="1"/>
  <c r="L6" i="41"/>
  <c r="P6" i="41"/>
  <c r="Q6" i="41" s="1"/>
  <c r="V6" i="41"/>
  <c r="W6" i="41"/>
  <c r="I3" i="41"/>
  <c r="L3" i="41"/>
  <c r="P3" i="41"/>
  <c r="Q3" i="41" s="1"/>
  <c r="V3" i="41"/>
  <c r="W3" i="41"/>
  <c r="I14" i="41"/>
  <c r="I13" i="41"/>
  <c r="I12" i="41"/>
  <c r="W11" i="41"/>
  <c r="V11" i="41"/>
  <c r="P11" i="41"/>
  <c r="S11" i="41" s="1"/>
  <c r="T11" i="41" s="1"/>
  <c r="L11" i="41"/>
  <c r="I11" i="41"/>
  <c r="I10" i="41"/>
  <c r="I9" i="41"/>
  <c r="I8" i="41"/>
  <c r="I7" i="41"/>
  <c r="I4" i="41"/>
  <c r="I2" i="41"/>
  <c r="R17" i="54" l="1"/>
  <c r="R4" i="54"/>
  <c r="R29" i="54"/>
  <c r="R31" i="54"/>
  <c r="R25" i="54"/>
  <c r="R11" i="54"/>
  <c r="R45" i="54"/>
  <c r="R13" i="54"/>
  <c r="R7" i="54"/>
  <c r="R26" i="54"/>
  <c r="R8" i="54"/>
  <c r="R43" i="54"/>
  <c r="R37" i="54"/>
  <c r="R10" i="54"/>
  <c r="R16" i="54"/>
  <c r="R39" i="42"/>
  <c r="R31" i="42"/>
  <c r="R28" i="42"/>
  <c r="R29" i="42"/>
  <c r="R21" i="42"/>
  <c r="R17" i="42"/>
  <c r="R15" i="42"/>
  <c r="N11" i="41"/>
  <c r="M11" i="41" s="1"/>
  <c r="N3" i="41"/>
  <c r="M3" i="41" s="1"/>
  <c r="S34" i="41"/>
  <c r="T34" i="41" s="1"/>
  <c r="S40" i="41"/>
  <c r="T40" i="41" s="1"/>
  <c r="S41" i="41"/>
  <c r="T41" i="41" s="1"/>
  <c r="S3" i="41"/>
  <c r="T3" i="41" s="1"/>
  <c r="S42" i="41"/>
  <c r="T42" i="41" s="1"/>
  <c r="Q42" i="41"/>
  <c r="R42" i="41" s="1"/>
  <c r="N41" i="41"/>
  <c r="M41" i="41" s="1"/>
  <c r="N40" i="41"/>
  <c r="M40" i="41" s="1"/>
  <c r="R34" i="41"/>
  <c r="R18" i="41"/>
  <c r="N19" i="41"/>
  <c r="M19" i="41" s="1"/>
  <c r="N6" i="41"/>
  <c r="M6" i="41" s="1"/>
  <c r="Q11" i="41"/>
  <c r="W43" i="53"/>
  <c r="V43" i="53"/>
  <c r="P43" i="53"/>
  <c r="Q43" i="53" s="1"/>
  <c r="L43" i="53"/>
  <c r="W42" i="53"/>
  <c r="V42" i="53"/>
  <c r="S42" i="53"/>
  <c r="T42" i="53" s="1"/>
  <c r="P42" i="53"/>
  <c r="Q42" i="53" s="1"/>
  <c r="N42" i="53"/>
  <c r="M42" i="53"/>
  <c r="L42" i="53"/>
  <c r="W41" i="53"/>
  <c r="V41" i="53"/>
  <c r="P41" i="53"/>
  <c r="Q41" i="53" s="1"/>
  <c r="L41" i="53"/>
  <c r="W40" i="53"/>
  <c r="V40" i="53"/>
  <c r="S40" i="53"/>
  <c r="T40" i="53" s="1"/>
  <c r="P40" i="53"/>
  <c r="Q40" i="53" s="1"/>
  <c r="R40" i="53" s="1"/>
  <c r="N40" i="53"/>
  <c r="M40" i="53"/>
  <c r="L40" i="53"/>
  <c r="W39" i="53"/>
  <c r="V39" i="53"/>
  <c r="P39" i="53"/>
  <c r="Q39" i="53" s="1"/>
  <c r="L39" i="53"/>
  <c r="W38" i="53"/>
  <c r="V38" i="53"/>
  <c r="S38" i="53"/>
  <c r="T38" i="53" s="1"/>
  <c r="P38" i="53"/>
  <c r="Q38" i="53" s="1"/>
  <c r="R38" i="53" s="1"/>
  <c r="N38" i="53"/>
  <c r="M38" i="53" s="1"/>
  <c r="L38" i="53"/>
  <c r="W37" i="53"/>
  <c r="V37" i="53"/>
  <c r="P37" i="53"/>
  <c r="Q37" i="53" s="1"/>
  <c r="L37" i="53"/>
  <c r="W36" i="53"/>
  <c r="V36" i="53"/>
  <c r="S36" i="53"/>
  <c r="T36" i="53" s="1"/>
  <c r="P36" i="53"/>
  <c r="Q36" i="53" s="1"/>
  <c r="N36" i="53"/>
  <c r="M36" i="53" s="1"/>
  <c r="L36" i="53"/>
  <c r="W35" i="53"/>
  <c r="V35" i="53"/>
  <c r="P35" i="53"/>
  <c r="Q35" i="53" s="1"/>
  <c r="L35" i="53"/>
  <c r="W34" i="53"/>
  <c r="V34" i="53"/>
  <c r="S34" i="53"/>
  <c r="T34" i="53" s="1"/>
  <c r="P34" i="53"/>
  <c r="Q34" i="53" s="1"/>
  <c r="N34" i="53"/>
  <c r="M34" i="53"/>
  <c r="L34" i="53"/>
  <c r="W33" i="53"/>
  <c r="V33" i="53"/>
  <c r="P33" i="53"/>
  <c r="Q33" i="53" s="1"/>
  <c r="L33" i="53"/>
  <c r="W32" i="53"/>
  <c r="V32" i="53"/>
  <c r="S32" i="53"/>
  <c r="T32" i="53" s="1"/>
  <c r="P32" i="53"/>
  <c r="Q32" i="53" s="1"/>
  <c r="R32" i="53" s="1"/>
  <c r="N32" i="53"/>
  <c r="M32" i="53"/>
  <c r="L32" i="53"/>
  <c r="W31" i="53"/>
  <c r="V31" i="53"/>
  <c r="P31" i="53"/>
  <c r="Q31" i="53" s="1"/>
  <c r="L31" i="53"/>
  <c r="W30" i="53"/>
  <c r="V30" i="53"/>
  <c r="P30" i="53"/>
  <c r="S30" i="53" s="1"/>
  <c r="T30" i="53" s="1"/>
  <c r="N30" i="53"/>
  <c r="M30" i="53" s="1"/>
  <c r="L30" i="53"/>
  <c r="W29" i="53"/>
  <c r="V29" i="53"/>
  <c r="P29" i="53"/>
  <c r="Q29" i="53" s="1"/>
  <c r="L29" i="53"/>
  <c r="W28" i="53"/>
  <c r="V28" i="53"/>
  <c r="P28" i="53"/>
  <c r="S28" i="53" s="1"/>
  <c r="T28" i="53" s="1"/>
  <c r="L28" i="53"/>
  <c r="W27" i="53"/>
  <c r="V27" i="53"/>
  <c r="P27" i="53"/>
  <c r="Q27" i="53" s="1"/>
  <c r="L27" i="53"/>
  <c r="W26" i="53"/>
  <c r="V26" i="53"/>
  <c r="P26" i="53"/>
  <c r="S26" i="53" s="1"/>
  <c r="T26" i="53" s="1"/>
  <c r="L26" i="53"/>
  <c r="W25" i="53"/>
  <c r="V25" i="53"/>
  <c r="P25" i="53"/>
  <c r="Q25" i="53" s="1"/>
  <c r="L25" i="53"/>
  <c r="W24" i="53"/>
  <c r="V24" i="53"/>
  <c r="P24" i="53"/>
  <c r="S24" i="53" s="1"/>
  <c r="T24" i="53" s="1"/>
  <c r="N24" i="53"/>
  <c r="M24" i="53"/>
  <c r="L24" i="53"/>
  <c r="W23" i="53"/>
  <c r="V23" i="53"/>
  <c r="P23" i="53"/>
  <c r="Q23" i="53" s="1"/>
  <c r="L23" i="53"/>
  <c r="I23" i="53"/>
  <c r="S23" i="53" s="1"/>
  <c r="T23" i="53" s="1"/>
  <c r="W22" i="53"/>
  <c r="V22" i="53"/>
  <c r="S22" i="53"/>
  <c r="T22" i="53" s="1"/>
  <c r="Q22" i="53"/>
  <c r="P22" i="53"/>
  <c r="N22" i="53"/>
  <c r="M22" i="53" s="1"/>
  <c r="L22" i="53"/>
  <c r="I22" i="53"/>
  <c r="W21" i="53"/>
  <c r="V21" i="53"/>
  <c r="P21" i="53"/>
  <c r="N21" i="53" s="1"/>
  <c r="M21" i="53" s="1"/>
  <c r="L21" i="53"/>
  <c r="I21" i="53"/>
  <c r="S21" i="53" s="1"/>
  <c r="T21" i="53" s="1"/>
  <c r="W20" i="53"/>
  <c r="V20" i="53"/>
  <c r="S20" i="53"/>
  <c r="T20" i="53" s="1"/>
  <c r="Q20" i="53"/>
  <c r="P20" i="53"/>
  <c r="N20" i="53"/>
  <c r="M20" i="53" s="1"/>
  <c r="L20" i="53"/>
  <c r="W19" i="53"/>
  <c r="V19" i="53"/>
  <c r="S19" i="53"/>
  <c r="T19" i="53" s="1"/>
  <c r="Q19" i="53"/>
  <c r="P19" i="53"/>
  <c r="N19" i="53"/>
  <c r="M19" i="53" s="1"/>
  <c r="L19" i="53"/>
  <c r="W18" i="53"/>
  <c r="V18" i="53"/>
  <c r="S18" i="53"/>
  <c r="T18" i="53" s="1"/>
  <c r="Q18" i="53"/>
  <c r="R18" i="53" s="1"/>
  <c r="P18" i="53"/>
  <c r="N18" i="53"/>
  <c r="M18" i="53" s="1"/>
  <c r="L18" i="53"/>
  <c r="W17" i="53"/>
  <c r="V17" i="53"/>
  <c r="S17" i="53"/>
  <c r="T17" i="53" s="1"/>
  <c r="Q17" i="53"/>
  <c r="R17" i="53" s="1"/>
  <c r="P17" i="53"/>
  <c r="N17" i="53"/>
  <c r="M17" i="53" s="1"/>
  <c r="L17" i="53"/>
  <c r="W16" i="53"/>
  <c r="V16" i="53"/>
  <c r="S16" i="53"/>
  <c r="T16" i="53" s="1"/>
  <c r="Q16" i="53"/>
  <c r="P16" i="53"/>
  <c r="N16" i="53"/>
  <c r="M16" i="53" s="1"/>
  <c r="L16" i="53"/>
  <c r="W15" i="53"/>
  <c r="V15" i="53"/>
  <c r="S15" i="53"/>
  <c r="T15" i="53" s="1"/>
  <c r="Q15" i="53"/>
  <c r="P15" i="53"/>
  <c r="N15" i="53"/>
  <c r="M15" i="53" s="1"/>
  <c r="L15" i="53"/>
  <c r="W14" i="53"/>
  <c r="V14" i="53"/>
  <c r="S14" i="53"/>
  <c r="T14" i="53" s="1"/>
  <c r="Q14" i="53"/>
  <c r="R14" i="53" s="1"/>
  <c r="P14" i="53"/>
  <c r="N14" i="53"/>
  <c r="M14" i="53" s="1"/>
  <c r="L14" i="53"/>
  <c r="W13" i="53"/>
  <c r="V13" i="53"/>
  <c r="S13" i="53"/>
  <c r="T13" i="53" s="1"/>
  <c r="Q13" i="53"/>
  <c r="R13" i="53" s="1"/>
  <c r="P13" i="53"/>
  <c r="N13" i="53"/>
  <c r="M13" i="53" s="1"/>
  <c r="L13" i="53"/>
  <c r="W12" i="53"/>
  <c r="V12" i="53"/>
  <c r="Q12" i="53"/>
  <c r="P12" i="53"/>
  <c r="S12" i="53" s="1"/>
  <c r="T12" i="53" s="1"/>
  <c r="L12" i="53"/>
  <c r="W11" i="53"/>
  <c r="V11" i="53"/>
  <c r="S11" i="53"/>
  <c r="T11" i="53" s="1"/>
  <c r="P11" i="53"/>
  <c r="Q11" i="53" s="1"/>
  <c r="N11" i="53"/>
  <c r="M11" i="53" s="1"/>
  <c r="L11" i="53"/>
  <c r="W10" i="53"/>
  <c r="V10" i="53"/>
  <c r="Q10" i="53"/>
  <c r="P10" i="53"/>
  <c r="S10" i="53" s="1"/>
  <c r="T10" i="53" s="1"/>
  <c r="L10" i="53"/>
  <c r="W9" i="53"/>
  <c r="V9" i="53"/>
  <c r="S9" i="53"/>
  <c r="T9" i="53" s="1"/>
  <c r="P9" i="53"/>
  <c r="Q9" i="53" s="1"/>
  <c r="N9" i="53"/>
  <c r="M9" i="53" s="1"/>
  <c r="L9" i="53"/>
  <c r="W8" i="53"/>
  <c r="V8" i="53"/>
  <c r="Q8" i="53"/>
  <c r="R8" i="53" s="1"/>
  <c r="P8" i="53"/>
  <c r="S8" i="53" s="1"/>
  <c r="T8" i="53" s="1"/>
  <c r="N8" i="53"/>
  <c r="M8" i="53"/>
  <c r="L8" i="53"/>
  <c r="W7" i="53"/>
  <c r="V7" i="53"/>
  <c r="S7" i="53"/>
  <c r="T7" i="53" s="1"/>
  <c r="P7" i="53"/>
  <c r="Q7" i="53" s="1"/>
  <c r="N7" i="53"/>
  <c r="M7" i="53" s="1"/>
  <c r="L7" i="53"/>
  <c r="W6" i="53"/>
  <c r="V6" i="53"/>
  <c r="Q6" i="53"/>
  <c r="R6" i="53" s="1"/>
  <c r="P6" i="53"/>
  <c r="S6" i="53" s="1"/>
  <c r="T6" i="53" s="1"/>
  <c r="N6" i="53"/>
  <c r="M6" i="53"/>
  <c r="L6" i="53"/>
  <c r="W5" i="53"/>
  <c r="V5" i="53"/>
  <c r="S5" i="53"/>
  <c r="T5" i="53" s="1"/>
  <c r="P5" i="53"/>
  <c r="Q5" i="53" s="1"/>
  <c r="R5" i="53" s="1"/>
  <c r="N5" i="53"/>
  <c r="M5" i="53" s="1"/>
  <c r="L5" i="53"/>
  <c r="W4" i="53"/>
  <c r="V4" i="53"/>
  <c r="Q4" i="53"/>
  <c r="P4" i="53"/>
  <c r="S4" i="53" s="1"/>
  <c r="T4" i="53" s="1"/>
  <c r="N4" i="53"/>
  <c r="M4" i="53"/>
  <c r="L4" i="53"/>
  <c r="W3" i="53"/>
  <c r="V3" i="53"/>
  <c r="S3" i="53"/>
  <c r="T3" i="53" s="1"/>
  <c r="P3" i="53"/>
  <c r="Q3" i="53" s="1"/>
  <c r="N3" i="53"/>
  <c r="M3" i="53" s="1"/>
  <c r="L3" i="53"/>
  <c r="W2" i="53"/>
  <c r="V2" i="53"/>
  <c r="Q2" i="53"/>
  <c r="P2" i="53"/>
  <c r="S2" i="53" s="1"/>
  <c r="T2" i="53" s="1"/>
  <c r="L2" i="53"/>
  <c r="W42" i="30"/>
  <c r="V42" i="30"/>
  <c r="Q42" i="30"/>
  <c r="P42" i="30"/>
  <c r="S42" i="30" s="1"/>
  <c r="T42" i="30" s="1"/>
  <c r="L42" i="30"/>
  <c r="W41" i="30"/>
  <c r="V41" i="30"/>
  <c r="S41" i="30"/>
  <c r="T41" i="30" s="1"/>
  <c r="P41" i="30"/>
  <c r="Q41" i="30" s="1"/>
  <c r="N41" i="30"/>
  <c r="M41" i="30" s="1"/>
  <c r="L41" i="30"/>
  <c r="W40" i="30"/>
  <c r="V40" i="30"/>
  <c r="P40" i="30"/>
  <c r="Q40" i="30" s="1"/>
  <c r="L40" i="30"/>
  <c r="W39" i="30"/>
  <c r="V39" i="30"/>
  <c r="S39" i="30"/>
  <c r="T39" i="30" s="1"/>
  <c r="Q39" i="30"/>
  <c r="R39" i="30" s="1"/>
  <c r="P39" i="30"/>
  <c r="N39" i="30"/>
  <c r="M39" i="30" s="1"/>
  <c r="L39" i="30"/>
  <c r="W38" i="30"/>
  <c r="V38" i="30"/>
  <c r="P38" i="30"/>
  <c r="Q38" i="30" s="1"/>
  <c r="L38" i="30"/>
  <c r="W37" i="30"/>
  <c r="V37" i="30"/>
  <c r="P37" i="30"/>
  <c r="S37" i="30" s="1"/>
  <c r="T37" i="30" s="1"/>
  <c r="N37" i="30"/>
  <c r="M37" i="30" s="1"/>
  <c r="L37" i="30"/>
  <c r="L43" i="30"/>
  <c r="P43" i="30"/>
  <c r="Q43" i="30" s="1"/>
  <c r="V43" i="30"/>
  <c r="W43" i="30"/>
  <c r="W32" i="30"/>
  <c r="V32" i="30"/>
  <c r="P32" i="30"/>
  <c r="Q32" i="30" s="1"/>
  <c r="L32" i="30"/>
  <c r="W31" i="30"/>
  <c r="V31" i="30"/>
  <c r="P31" i="30"/>
  <c r="Q31" i="30" s="1"/>
  <c r="L31" i="30"/>
  <c r="W30" i="30"/>
  <c r="V30" i="30"/>
  <c r="Q30" i="30"/>
  <c r="P30" i="30"/>
  <c r="S30" i="30" s="1"/>
  <c r="T30" i="30" s="1"/>
  <c r="L30" i="30"/>
  <c r="W29" i="30"/>
  <c r="V29" i="30"/>
  <c r="P29" i="30"/>
  <c r="Q29" i="30" s="1"/>
  <c r="L29" i="30"/>
  <c r="W28" i="30"/>
  <c r="V28" i="30"/>
  <c r="P28" i="30"/>
  <c r="Q28" i="30" s="1"/>
  <c r="L28" i="30"/>
  <c r="W27" i="30"/>
  <c r="V27" i="30"/>
  <c r="P27" i="30"/>
  <c r="S27" i="30" s="1"/>
  <c r="T27" i="30" s="1"/>
  <c r="N27" i="30"/>
  <c r="M27" i="30" s="1"/>
  <c r="L27" i="30"/>
  <c r="W26" i="30"/>
  <c r="V26" i="30"/>
  <c r="P26" i="30"/>
  <c r="Q26" i="30" s="1"/>
  <c r="L26" i="30"/>
  <c r="W25" i="30"/>
  <c r="V25" i="30"/>
  <c r="P25" i="30"/>
  <c r="Q25" i="30" s="1"/>
  <c r="L25" i="30"/>
  <c r="W20" i="30"/>
  <c r="V20" i="30"/>
  <c r="Q20" i="30"/>
  <c r="P20" i="30"/>
  <c r="S20" i="30" s="1"/>
  <c r="T20" i="30" s="1"/>
  <c r="L20" i="30"/>
  <c r="W19" i="30"/>
  <c r="V19" i="30"/>
  <c r="P19" i="30"/>
  <c r="Q19" i="30" s="1"/>
  <c r="L19" i="30"/>
  <c r="W18" i="30"/>
  <c r="V18" i="30"/>
  <c r="P18" i="30"/>
  <c r="Q18" i="30" s="1"/>
  <c r="L18" i="30"/>
  <c r="W17" i="30"/>
  <c r="V17" i="30"/>
  <c r="P17" i="30"/>
  <c r="Q17" i="30" s="1"/>
  <c r="L17" i="30"/>
  <c r="W16" i="30"/>
  <c r="V16" i="30"/>
  <c r="P16" i="30"/>
  <c r="Q16" i="30" s="1"/>
  <c r="L16" i="30"/>
  <c r="W15" i="30"/>
  <c r="V15" i="30"/>
  <c r="P15" i="30"/>
  <c r="S15" i="30" s="1"/>
  <c r="T15" i="30" s="1"/>
  <c r="L15" i="30"/>
  <c r="W14" i="30"/>
  <c r="V14" i="30"/>
  <c r="P14" i="30"/>
  <c r="Q14" i="30" s="1"/>
  <c r="L14" i="30"/>
  <c r="L10" i="30"/>
  <c r="P10" i="30"/>
  <c r="N10" i="30" s="1"/>
  <c r="Q10" i="30"/>
  <c r="V10" i="30"/>
  <c r="W10" i="30"/>
  <c r="W9" i="30"/>
  <c r="V9" i="30"/>
  <c r="P9" i="30"/>
  <c r="Q9" i="30" s="1"/>
  <c r="L9" i="30"/>
  <c r="W8" i="30"/>
  <c r="V8" i="30"/>
  <c r="S8" i="30"/>
  <c r="T8" i="30" s="1"/>
  <c r="P8" i="30"/>
  <c r="Q8" i="30" s="1"/>
  <c r="N8" i="30"/>
  <c r="M8" i="30" s="1"/>
  <c r="L8" i="30"/>
  <c r="W7" i="30"/>
  <c r="V7" i="30"/>
  <c r="Q7" i="30"/>
  <c r="P7" i="30"/>
  <c r="S7" i="30" s="1"/>
  <c r="T7" i="30" s="1"/>
  <c r="L7" i="30"/>
  <c r="L5" i="30"/>
  <c r="P5" i="30"/>
  <c r="N5" i="30" s="1"/>
  <c r="M5" i="30" s="1"/>
  <c r="V5" i="30"/>
  <c r="W5" i="30"/>
  <c r="R7" i="53" l="1"/>
  <c r="R11" i="53"/>
  <c r="R36" i="53"/>
  <c r="R19" i="41"/>
  <c r="R9" i="53"/>
  <c r="R16" i="53"/>
  <c r="R20" i="53"/>
  <c r="R34" i="53"/>
  <c r="R42" i="53"/>
  <c r="R11" i="41"/>
  <c r="R3" i="53"/>
  <c r="R4" i="53"/>
  <c r="R15" i="53"/>
  <c r="R19" i="53"/>
  <c r="R22" i="53"/>
  <c r="R3" i="41"/>
  <c r="R41" i="41"/>
  <c r="R40" i="41"/>
  <c r="R6" i="41"/>
  <c r="R35" i="53"/>
  <c r="R33" i="53"/>
  <c r="R39" i="53"/>
  <c r="Q21" i="53"/>
  <c r="R21" i="53" s="1"/>
  <c r="N23" i="53"/>
  <c r="M23" i="53" s="1"/>
  <c r="Q24" i="53"/>
  <c r="R24" i="53" s="1"/>
  <c r="N25" i="53"/>
  <c r="M25" i="53" s="1"/>
  <c r="S25" i="53"/>
  <c r="T25" i="53" s="1"/>
  <c r="Q26" i="53"/>
  <c r="N27" i="53"/>
  <c r="M27" i="53" s="1"/>
  <c r="S27" i="53"/>
  <c r="T27" i="53" s="1"/>
  <c r="Q28" i="53"/>
  <c r="N29" i="53"/>
  <c r="M29" i="53" s="1"/>
  <c r="S29" i="53"/>
  <c r="T29" i="53" s="1"/>
  <c r="Q30" i="53"/>
  <c r="R30" i="53" s="1"/>
  <c r="N31" i="53"/>
  <c r="M31" i="53" s="1"/>
  <c r="S31" i="53"/>
  <c r="T31" i="53" s="1"/>
  <c r="N33" i="53"/>
  <c r="M33" i="53" s="1"/>
  <c r="S33" i="53"/>
  <c r="T33" i="53" s="1"/>
  <c r="N35" i="53"/>
  <c r="M35" i="53" s="1"/>
  <c r="S35" i="53"/>
  <c r="T35" i="53" s="1"/>
  <c r="N37" i="53"/>
  <c r="M37" i="53" s="1"/>
  <c r="S37" i="53"/>
  <c r="T37" i="53" s="1"/>
  <c r="N39" i="53"/>
  <c r="M39" i="53" s="1"/>
  <c r="S39" i="53"/>
  <c r="T39" i="53" s="1"/>
  <c r="N41" i="53"/>
  <c r="M41" i="53" s="1"/>
  <c r="S41" i="53"/>
  <c r="T41" i="53" s="1"/>
  <c r="N43" i="53"/>
  <c r="M43" i="53" s="1"/>
  <c r="S43" i="53"/>
  <c r="T43" i="53" s="1"/>
  <c r="N26" i="53"/>
  <c r="M26" i="53" s="1"/>
  <c r="N28" i="53"/>
  <c r="M28" i="53" s="1"/>
  <c r="N2" i="53"/>
  <c r="M2" i="53" s="1"/>
  <c r="N10" i="53"/>
  <c r="M10" i="53" s="1"/>
  <c r="N12" i="53"/>
  <c r="M12" i="53" s="1"/>
  <c r="Q27" i="30"/>
  <c r="S29" i="30"/>
  <c r="T29" i="30" s="1"/>
  <c r="N29" i="30"/>
  <c r="M29" i="30" s="1"/>
  <c r="N31" i="30"/>
  <c r="M31" i="30" s="1"/>
  <c r="S31" i="30"/>
  <c r="T31" i="30" s="1"/>
  <c r="R41" i="30"/>
  <c r="Q37" i="30"/>
  <c r="N42" i="30"/>
  <c r="M42" i="30" s="1"/>
  <c r="N16" i="30"/>
  <c r="M16" i="30" s="1"/>
  <c r="R29" i="30"/>
  <c r="R31" i="30"/>
  <c r="S16" i="30"/>
  <c r="T16" i="30" s="1"/>
  <c r="R27" i="30"/>
  <c r="S43" i="30"/>
  <c r="T43" i="30" s="1"/>
  <c r="N38" i="30"/>
  <c r="M38" i="30" s="1"/>
  <c r="N40" i="30"/>
  <c r="M40" i="30" s="1"/>
  <c r="S40" i="30"/>
  <c r="T40" i="30" s="1"/>
  <c r="N43" i="30"/>
  <c r="M43" i="30" s="1"/>
  <c r="S38" i="30"/>
  <c r="T38" i="30" s="1"/>
  <c r="R37" i="30"/>
  <c r="N32" i="30"/>
  <c r="M32" i="30" s="1"/>
  <c r="S32" i="30"/>
  <c r="T32" i="30" s="1"/>
  <c r="N25" i="30"/>
  <c r="M25" i="30" s="1"/>
  <c r="S25" i="30"/>
  <c r="T25" i="30" s="1"/>
  <c r="N30" i="30"/>
  <c r="M30" i="30" s="1"/>
  <c r="N28" i="30"/>
  <c r="M28" i="30" s="1"/>
  <c r="S28" i="30"/>
  <c r="T28" i="30" s="1"/>
  <c r="N26" i="30"/>
  <c r="M26" i="30" s="1"/>
  <c r="S26" i="30"/>
  <c r="T26" i="30" s="1"/>
  <c r="N17" i="30"/>
  <c r="M17" i="30" s="1"/>
  <c r="S17" i="30"/>
  <c r="T17" i="30" s="1"/>
  <c r="S19" i="30"/>
  <c r="T19" i="30" s="1"/>
  <c r="N19" i="30"/>
  <c r="M19" i="30" s="1"/>
  <c r="N20" i="30"/>
  <c r="M20" i="30" s="1"/>
  <c r="N18" i="30"/>
  <c r="M18" i="30" s="1"/>
  <c r="S18" i="30"/>
  <c r="T18" i="30" s="1"/>
  <c r="N15" i="30"/>
  <c r="M15" i="30" s="1"/>
  <c r="R16" i="30"/>
  <c r="Q15" i="30"/>
  <c r="N14" i="30"/>
  <c r="M14" i="30" s="1"/>
  <c r="S14" i="30"/>
  <c r="T14" i="30" s="1"/>
  <c r="M10" i="30"/>
  <c r="R10" i="30"/>
  <c r="S10" i="30"/>
  <c r="T10" i="30" s="1"/>
  <c r="R8" i="30"/>
  <c r="N9" i="30"/>
  <c r="M9" i="30" s="1"/>
  <c r="S9" i="30"/>
  <c r="T9" i="30" s="1"/>
  <c r="N7" i="30"/>
  <c r="M7" i="30" s="1"/>
  <c r="S5" i="30"/>
  <c r="T5" i="30" s="1"/>
  <c r="Q5" i="30"/>
  <c r="R5" i="30" s="1"/>
  <c r="W25" i="49"/>
  <c r="V25" i="49"/>
  <c r="S25" i="49"/>
  <c r="T25" i="49" s="1"/>
  <c r="Q25" i="49"/>
  <c r="P25" i="49"/>
  <c r="N25" i="49"/>
  <c r="M25" i="49" s="1"/>
  <c r="L25" i="49"/>
  <c r="I25" i="49"/>
  <c r="I24" i="49"/>
  <c r="W24" i="49"/>
  <c r="V24" i="49"/>
  <c r="P24" i="49"/>
  <c r="Q24" i="49" s="1"/>
  <c r="L24" i="49"/>
  <c r="S24" i="49"/>
  <c r="T24" i="49" s="1"/>
  <c r="I22" i="49"/>
  <c r="I17" i="47"/>
  <c r="L17" i="47"/>
  <c r="N17" i="47"/>
  <c r="M17" i="47" s="1"/>
  <c r="P17" i="47"/>
  <c r="Q17" i="47" s="1"/>
  <c r="S17" i="47"/>
  <c r="T17" i="47" s="1"/>
  <c r="V17" i="47"/>
  <c r="W17" i="47"/>
  <c r="W16" i="47"/>
  <c r="V16" i="47"/>
  <c r="P16" i="47"/>
  <c r="Q16" i="47" s="1"/>
  <c r="L16" i="47"/>
  <c r="I16" i="47"/>
  <c r="W15" i="47"/>
  <c r="V15" i="47"/>
  <c r="P15" i="47"/>
  <c r="Q15" i="47" s="1"/>
  <c r="L15" i="47"/>
  <c r="I15" i="47"/>
  <c r="W14" i="47"/>
  <c r="V14" i="47"/>
  <c r="P14" i="47"/>
  <c r="Q14" i="47" s="1"/>
  <c r="L14" i="47"/>
  <c r="I14" i="47"/>
  <c r="S14" i="47" s="1"/>
  <c r="T14" i="47" s="1"/>
  <c r="W13" i="47"/>
  <c r="V13" i="47"/>
  <c r="P13" i="47"/>
  <c r="Q13" i="47" s="1"/>
  <c r="L13" i="47"/>
  <c r="I13" i="47"/>
  <c r="W12" i="47"/>
  <c r="V12" i="47"/>
  <c r="P12" i="47"/>
  <c r="Q12" i="47" s="1"/>
  <c r="L12" i="47"/>
  <c r="I12" i="47"/>
  <c r="I11" i="47"/>
  <c r="I10" i="47"/>
  <c r="I9" i="47"/>
  <c r="I8" i="47"/>
  <c r="I7" i="47"/>
  <c r="I6" i="47"/>
  <c r="I5" i="47"/>
  <c r="I4" i="47"/>
  <c r="I3" i="47"/>
  <c r="I27" i="46"/>
  <c r="I26" i="46"/>
  <c r="W25" i="46"/>
  <c r="V25" i="46"/>
  <c r="P25" i="46"/>
  <c r="Q25" i="46" s="1"/>
  <c r="L25" i="46"/>
  <c r="I25" i="46"/>
  <c r="S25" i="46" s="1"/>
  <c r="T25" i="46" s="1"/>
  <c r="I24" i="46"/>
  <c r="L24" i="46"/>
  <c r="P24" i="46"/>
  <c r="Q24" i="46" s="1"/>
  <c r="V24" i="46"/>
  <c r="W24" i="46"/>
  <c r="L26" i="46"/>
  <c r="P26" i="46"/>
  <c r="Q26" i="46" s="1"/>
  <c r="V26" i="46"/>
  <c r="W26" i="46"/>
  <c r="S27" i="46"/>
  <c r="T27" i="46" s="1"/>
  <c r="L27" i="46"/>
  <c r="P27" i="46"/>
  <c r="N27" i="46" s="1"/>
  <c r="M27" i="46" s="1"/>
  <c r="V27" i="46"/>
  <c r="W27" i="46"/>
  <c r="I23" i="46"/>
  <c r="I19" i="46"/>
  <c r="I22" i="45"/>
  <c r="I21" i="45"/>
  <c r="I20" i="45"/>
  <c r="I19" i="45"/>
  <c r="W19" i="45"/>
  <c r="V19" i="45"/>
  <c r="P19" i="45"/>
  <c r="Q19" i="45" s="1"/>
  <c r="L19" i="45"/>
  <c r="I18" i="45"/>
  <c r="W17" i="45"/>
  <c r="V17" i="45"/>
  <c r="P17" i="45"/>
  <c r="Q17" i="45" s="1"/>
  <c r="L17" i="45"/>
  <c r="I17" i="45"/>
  <c r="I16" i="45"/>
  <c r="I15" i="45"/>
  <c r="I14" i="45"/>
  <c r="I13" i="45"/>
  <c r="I12" i="45"/>
  <c r="I11" i="45"/>
  <c r="I10" i="45"/>
  <c r="I9" i="45"/>
  <c r="W8" i="45"/>
  <c r="V8" i="45"/>
  <c r="P8" i="45"/>
  <c r="N8" i="45" s="1"/>
  <c r="M8" i="45" s="1"/>
  <c r="L8" i="45"/>
  <c r="I8" i="45"/>
  <c r="W7" i="45"/>
  <c r="V7" i="45"/>
  <c r="P7" i="45"/>
  <c r="N7" i="45" s="1"/>
  <c r="M7" i="45" s="1"/>
  <c r="L7" i="45"/>
  <c r="I7" i="45"/>
  <c r="W6" i="45"/>
  <c r="V6" i="45"/>
  <c r="P6" i="45"/>
  <c r="Q6" i="45" s="1"/>
  <c r="L6" i="45"/>
  <c r="I6" i="45"/>
  <c r="S6" i="45" s="1"/>
  <c r="T6" i="45" s="1"/>
  <c r="I5" i="45"/>
  <c r="I4" i="45"/>
  <c r="I3" i="45"/>
  <c r="I5" i="38"/>
  <c r="L5" i="38"/>
  <c r="P5" i="38"/>
  <c r="Q5" i="38" s="1"/>
  <c r="V5" i="38"/>
  <c r="W5" i="38"/>
  <c r="I14" i="38"/>
  <c r="W13" i="38"/>
  <c r="V13" i="38"/>
  <c r="P13" i="38"/>
  <c r="Q13" i="38" s="1"/>
  <c r="L13" i="38"/>
  <c r="I13" i="38"/>
  <c r="S13" i="38" s="1"/>
  <c r="T13" i="38" s="1"/>
  <c r="I12" i="38"/>
  <c r="I11" i="38"/>
  <c r="I10" i="38"/>
  <c r="W10" i="38"/>
  <c r="V10" i="38"/>
  <c r="P10" i="38"/>
  <c r="Q10" i="38" s="1"/>
  <c r="L10" i="38"/>
  <c r="R42" i="30" l="1"/>
  <c r="R31" i="53"/>
  <c r="R25" i="49"/>
  <c r="R43" i="53"/>
  <c r="R25" i="53"/>
  <c r="R26" i="53"/>
  <c r="R23" i="53"/>
  <c r="R37" i="53"/>
  <c r="R29" i="53"/>
  <c r="R28" i="53"/>
  <c r="R41" i="53"/>
  <c r="R2" i="53"/>
  <c r="R27" i="53"/>
  <c r="R10" i="53"/>
  <c r="R12" i="53"/>
  <c r="R38" i="30"/>
  <c r="R40" i="30"/>
  <c r="R43" i="30"/>
  <c r="R32" i="30"/>
  <c r="R25" i="30"/>
  <c r="R30" i="30"/>
  <c r="R28" i="30"/>
  <c r="R26" i="30"/>
  <c r="R15" i="30"/>
  <c r="R19" i="30"/>
  <c r="R17" i="30"/>
  <c r="R20" i="30"/>
  <c r="R18" i="30"/>
  <c r="R14" i="30"/>
  <c r="R9" i="30"/>
  <c r="R7" i="30"/>
  <c r="R24" i="49"/>
  <c r="N24" i="49"/>
  <c r="M24" i="49" s="1"/>
  <c r="R17" i="47"/>
  <c r="S12" i="47"/>
  <c r="T12" i="47" s="1"/>
  <c r="S15" i="47"/>
  <c r="T15" i="47" s="1"/>
  <c r="S13" i="47"/>
  <c r="T13" i="47" s="1"/>
  <c r="S16" i="47"/>
  <c r="T16" i="47" s="1"/>
  <c r="N16" i="47"/>
  <c r="M16" i="47" s="1"/>
  <c r="N15" i="47"/>
  <c r="M15" i="47" s="1"/>
  <c r="N14" i="47"/>
  <c r="M14" i="47" s="1"/>
  <c r="N13" i="47"/>
  <c r="M13" i="47" s="1"/>
  <c r="N12" i="47"/>
  <c r="M12" i="47" s="1"/>
  <c r="N26" i="46"/>
  <c r="M26" i="46" s="1"/>
  <c r="S24" i="46"/>
  <c r="T24" i="46" s="1"/>
  <c r="S26" i="46"/>
  <c r="T26" i="46" s="1"/>
  <c r="N25" i="46"/>
  <c r="M25" i="46" s="1"/>
  <c r="Q27" i="46"/>
  <c r="R27" i="46" s="1"/>
  <c r="N24" i="46"/>
  <c r="M24" i="46" s="1"/>
  <c r="S8" i="45"/>
  <c r="T8" i="45" s="1"/>
  <c r="S19" i="45"/>
  <c r="T19" i="45" s="1"/>
  <c r="N17" i="45"/>
  <c r="M17" i="45" s="1"/>
  <c r="Q7" i="45"/>
  <c r="S17" i="45"/>
  <c r="T17" i="45" s="1"/>
  <c r="S7" i="45"/>
  <c r="T7" i="45" s="1"/>
  <c r="N19" i="45"/>
  <c r="M19" i="45" s="1"/>
  <c r="Q8" i="45"/>
  <c r="R8" i="45" s="1"/>
  <c r="R7" i="45"/>
  <c r="N6" i="45"/>
  <c r="M6" i="45" s="1"/>
  <c r="R5" i="38"/>
  <c r="S5" i="38"/>
  <c r="T5" i="38" s="1"/>
  <c r="N5" i="38"/>
  <c r="M5" i="38" s="1"/>
  <c r="N13" i="38"/>
  <c r="M13" i="38" s="1"/>
  <c r="N10" i="38"/>
  <c r="M10" i="38" s="1"/>
  <c r="S10" i="38"/>
  <c r="T10" i="38" s="1"/>
  <c r="W9" i="38"/>
  <c r="V9" i="38"/>
  <c r="P9" i="38"/>
  <c r="S9" i="38" s="1"/>
  <c r="T9" i="38" s="1"/>
  <c r="N9" i="38"/>
  <c r="M9" i="38" s="1"/>
  <c r="L9" i="38"/>
  <c r="I7" i="38"/>
  <c r="I6" i="38"/>
  <c r="I4" i="38"/>
  <c r="I3" i="38"/>
  <c r="I6" i="37"/>
  <c r="I5" i="37"/>
  <c r="I4" i="37"/>
  <c r="I3" i="37"/>
  <c r="I47" i="36"/>
  <c r="I46" i="36"/>
  <c r="S46" i="36"/>
  <c r="T46" i="36" s="1"/>
  <c r="L46" i="36"/>
  <c r="P46" i="36"/>
  <c r="Q46" i="36" s="1"/>
  <c r="V46" i="36"/>
  <c r="W46" i="36"/>
  <c r="L47" i="36"/>
  <c r="N47" i="36"/>
  <c r="M47" i="36" s="1"/>
  <c r="P47" i="36"/>
  <c r="Q47" i="36"/>
  <c r="S47" i="36"/>
  <c r="T47" i="36" s="1"/>
  <c r="V47" i="36"/>
  <c r="W47" i="36"/>
  <c r="I45" i="36"/>
  <c r="I44" i="36"/>
  <c r="I43" i="36"/>
  <c r="L43" i="36"/>
  <c r="N43" i="36"/>
  <c r="M43" i="36" s="1"/>
  <c r="P43" i="36"/>
  <c r="Q43" i="36" s="1"/>
  <c r="S43" i="36"/>
  <c r="T43" i="36" s="1"/>
  <c r="V43" i="36"/>
  <c r="W43" i="36"/>
  <c r="S44" i="36"/>
  <c r="T44" i="36" s="1"/>
  <c r="L44" i="36"/>
  <c r="P44" i="36"/>
  <c r="Q44" i="36" s="1"/>
  <c r="V44" i="36"/>
  <c r="W44" i="36"/>
  <c r="S45" i="36"/>
  <c r="T45" i="36" s="1"/>
  <c r="L45" i="36"/>
  <c r="P45" i="36"/>
  <c r="N45" i="36" s="1"/>
  <c r="M45" i="36" s="1"/>
  <c r="Q45" i="36"/>
  <c r="V45" i="36"/>
  <c r="W45" i="36"/>
  <c r="I42" i="36"/>
  <c r="W41" i="36"/>
  <c r="V41" i="36"/>
  <c r="Q41" i="36"/>
  <c r="R41" i="36" s="1"/>
  <c r="P41" i="36"/>
  <c r="N41" i="36" s="1"/>
  <c r="M41" i="36" s="1"/>
  <c r="L41" i="36"/>
  <c r="I41" i="36"/>
  <c r="S41" i="36" s="1"/>
  <c r="T41" i="36" s="1"/>
  <c r="W40" i="36"/>
  <c r="V40" i="36"/>
  <c r="S40" i="36"/>
  <c r="T40" i="36" s="1"/>
  <c r="Q40" i="36"/>
  <c r="R40" i="36" s="1"/>
  <c r="P40" i="36"/>
  <c r="N40" i="36"/>
  <c r="M40" i="36" s="1"/>
  <c r="L40" i="36"/>
  <c r="I40" i="36"/>
  <c r="W39" i="36"/>
  <c r="V39" i="36"/>
  <c r="P39" i="36"/>
  <c r="Q39" i="36" s="1"/>
  <c r="L39" i="36"/>
  <c r="I39" i="36"/>
  <c r="S39" i="36" s="1"/>
  <c r="T39" i="36" s="1"/>
  <c r="I38" i="36"/>
  <c r="S38" i="36" s="1"/>
  <c r="T38" i="36" s="1"/>
  <c r="I37" i="36"/>
  <c r="L37" i="36"/>
  <c r="N37" i="36"/>
  <c r="M37" i="36" s="1"/>
  <c r="P37" i="36"/>
  <c r="Q37" i="36" s="1"/>
  <c r="S37" i="36"/>
  <c r="T37" i="36" s="1"/>
  <c r="V37" i="36"/>
  <c r="W37" i="36"/>
  <c r="L38" i="36"/>
  <c r="P38" i="36"/>
  <c r="Q38" i="36" s="1"/>
  <c r="V38" i="36"/>
  <c r="W38" i="36"/>
  <c r="S42" i="36"/>
  <c r="T42" i="36" s="1"/>
  <c r="L42" i="36"/>
  <c r="P42" i="36"/>
  <c r="Q42" i="36" s="1"/>
  <c r="V42" i="36"/>
  <c r="W42" i="36"/>
  <c r="W36" i="36"/>
  <c r="V36" i="36"/>
  <c r="P36" i="36"/>
  <c r="Q36" i="36" s="1"/>
  <c r="L36" i="36"/>
  <c r="I36" i="36"/>
  <c r="S36" i="36" s="1"/>
  <c r="T36" i="36" s="1"/>
  <c r="W35" i="36"/>
  <c r="V35" i="36"/>
  <c r="S35" i="36"/>
  <c r="T35" i="36" s="1"/>
  <c r="Q35" i="36"/>
  <c r="P35" i="36"/>
  <c r="N35" i="36"/>
  <c r="M35" i="36" s="1"/>
  <c r="L35" i="36"/>
  <c r="I35" i="36"/>
  <c r="W34" i="36"/>
  <c r="V34" i="36"/>
  <c r="P34" i="36"/>
  <c r="N34" i="36" s="1"/>
  <c r="M34" i="36" s="1"/>
  <c r="L34" i="36"/>
  <c r="I34" i="36"/>
  <c r="S34" i="36" s="1"/>
  <c r="T34" i="36" s="1"/>
  <c r="I33" i="36"/>
  <c r="S33" i="36" s="1"/>
  <c r="T33" i="36" s="1"/>
  <c r="W31" i="36"/>
  <c r="V31" i="36"/>
  <c r="P31" i="36"/>
  <c r="Q31" i="36" s="1"/>
  <c r="L31" i="36"/>
  <c r="I31" i="36"/>
  <c r="S31" i="36" s="1"/>
  <c r="T31" i="36" s="1"/>
  <c r="W32" i="36"/>
  <c r="V32" i="36"/>
  <c r="S32" i="36"/>
  <c r="T32" i="36" s="1"/>
  <c r="P32" i="36"/>
  <c r="Q32" i="36" s="1"/>
  <c r="N32" i="36"/>
  <c r="M32" i="36" s="1"/>
  <c r="L32" i="36"/>
  <c r="I32" i="36"/>
  <c r="L33" i="36"/>
  <c r="P33" i="36"/>
  <c r="Q33" i="36" s="1"/>
  <c r="V33" i="36"/>
  <c r="W33" i="36"/>
  <c r="I30" i="36"/>
  <c r="S30" i="36" s="1"/>
  <c r="T30" i="36" s="1"/>
  <c r="I29" i="36"/>
  <c r="S29" i="36" s="1"/>
  <c r="T29" i="36" s="1"/>
  <c r="L29" i="36"/>
  <c r="P29" i="36"/>
  <c r="N29" i="36" s="1"/>
  <c r="Q29" i="36"/>
  <c r="V29" i="36"/>
  <c r="W29" i="36"/>
  <c r="L30" i="36"/>
  <c r="N30" i="36"/>
  <c r="M30" i="36" s="1"/>
  <c r="P30" i="36"/>
  <c r="Q30" i="36"/>
  <c r="V30" i="36"/>
  <c r="W30" i="36"/>
  <c r="I28" i="36"/>
  <c r="W28" i="36"/>
  <c r="V28" i="36"/>
  <c r="P28" i="36"/>
  <c r="Q28" i="36" s="1"/>
  <c r="L28" i="36"/>
  <c r="S28" i="36"/>
  <c r="T28" i="36" s="1"/>
  <c r="W27" i="36"/>
  <c r="V27" i="36"/>
  <c r="P27" i="36"/>
  <c r="Q27" i="36" s="1"/>
  <c r="L27" i="36"/>
  <c r="I27" i="36"/>
  <c r="S27" i="36" s="1"/>
  <c r="T27" i="36" s="1"/>
  <c r="W26" i="36"/>
  <c r="V26" i="36"/>
  <c r="Q26" i="36"/>
  <c r="P26" i="36"/>
  <c r="N26" i="36" s="1"/>
  <c r="M26" i="36" s="1"/>
  <c r="L26" i="36"/>
  <c r="I26" i="36"/>
  <c r="S26" i="36" s="1"/>
  <c r="T26" i="36" s="1"/>
  <c r="W25" i="36"/>
  <c r="V25" i="36"/>
  <c r="P25" i="36"/>
  <c r="Q25" i="36" s="1"/>
  <c r="L25" i="36"/>
  <c r="I25" i="36"/>
  <c r="S25" i="36" s="1"/>
  <c r="T25" i="36" s="1"/>
  <c r="I24" i="36"/>
  <c r="I23" i="36"/>
  <c r="S23" i="36" s="1"/>
  <c r="T23" i="36" s="1"/>
  <c r="I22" i="36"/>
  <c r="I21" i="36"/>
  <c r="S21" i="36" s="1"/>
  <c r="T21" i="36" s="1"/>
  <c r="L21" i="36"/>
  <c r="N21" i="36"/>
  <c r="M21" i="36" s="1"/>
  <c r="P21" i="36"/>
  <c r="Q21" i="36"/>
  <c r="R21" i="36" s="1"/>
  <c r="V21" i="36"/>
  <c r="W21" i="36"/>
  <c r="S22" i="36"/>
  <c r="T22" i="36" s="1"/>
  <c r="L22" i="36"/>
  <c r="P22" i="36"/>
  <c r="Q22" i="36" s="1"/>
  <c r="V22" i="36"/>
  <c r="W22" i="36"/>
  <c r="L23" i="36"/>
  <c r="N23" i="36"/>
  <c r="M23" i="36" s="1"/>
  <c r="P23" i="36"/>
  <c r="Q23" i="36"/>
  <c r="R23" i="36" s="1"/>
  <c r="V23" i="36"/>
  <c r="W23" i="36"/>
  <c r="S24" i="36"/>
  <c r="T24" i="36" s="1"/>
  <c r="L24" i="36"/>
  <c r="P24" i="36"/>
  <c r="N24" i="36" s="1"/>
  <c r="M24" i="36" s="1"/>
  <c r="V24" i="36"/>
  <c r="W24" i="36"/>
  <c r="I20" i="36"/>
  <c r="W19" i="36"/>
  <c r="V19" i="36"/>
  <c r="P19" i="36"/>
  <c r="Q19" i="36" s="1"/>
  <c r="L19" i="36"/>
  <c r="I19" i="36"/>
  <c r="S19" i="36" s="1"/>
  <c r="T19" i="36" s="1"/>
  <c r="W18" i="36"/>
  <c r="V18" i="36"/>
  <c r="P18" i="36"/>
  <c r="Q18" i="36" s="1"/>
  <c r="L18" i="36"/>
  <c r="I18" i="36"/>
  <c r="S18" i="36" s="1"/>
  <c r="T18" i="36" s="1"/>
  <c r="I17" i="36"/>
  <c r="I16" i="36"/>
  <c r="W15" i="36"/>
  <c r="V15" i="36"/>
  <c r="P15" i="36"/>
  <c r="Q15" i="36" s="1"/>
  <c r="L15" i="36"/>
  <c r="I15" i="36"/>
  <c r="S15" i="36" s="1"/>
  <c r="T15" i="36" s="1"/>
  <c r="I14" i="36"/>
  <c r="I13" i="36"/>
  <c r="I12" i="36"/>
  <c r="I11" i="36"/>
  <c r="I10" i="36"/>
  <c r="W9" i="36"/>
  <c r="V9" i="36"/>
  <c r="P9" i="36"/>
  <c r="Q9" i="36" s="1"/>
  <c r="L9" i="36"/>
  <c r="I9" i="36"/>
  <c r="S9" i="36" s="1"/>
  <c r="T9" i="36" s="1"/>
  <c r="I8" i="36"/>
  <c r="I7" i="36"/>
  <c r="I6" i="36"/>
  <c r="W6" i="36"/>
  <c r="V6" i="36"/>
  <c r="Q6" i="36"/>
  <c r="P6" i="36"/>
  <c r="N6" i="36" s="1"/>
  <c r="M6" i="36" s="1"/>
  <c r="L6" i="36"/>
  <c r="S6" i="36"/>
  <c r="T6" i="36" s="1"/>
  <c r="W5" i="36"/>
  <c r="V5" i="36"/>
  <c r="S5" i="36"/>
  <c r="T5" i="36" s="1"/>
  <c r="Q5" i="36"/>
  <c r="R5" i="36" s="1"/>
  <c r="P5" i="36"/>
  <c r="N5" i="36"/>
  <c r="M5" i="36" s="1"/>
  <c r="L5" i="36"/>
  <c r="I5" i="36"/>
  <c r="W4" i="36"/>
  <c r="V4" i="36"/>
  <c r="P4" i="36"/>
  <c r="N4" i="36" s="1"/>
  <c r="M4" i="36" s="1"/>
  <c r="L4" i="36"/>
  <c r="I4" i="36"/>
  <c r="S4" i="36" s="1"/>
  <c r="T4" i="36" s="1"/>
  <c r="I3" i="36"/>
  <c r="W16" i="33"/>
  <c r="V16" i="33"/>
  <c r="S16" i="33"/>
  <c r="T16" i="33" s="1"/>
  <c r="P16" i="33"/>
  <c r="Q16" i="33" s="1"/>
  <c r="R16" i="33" s="1"/>
  <c r="N16" i="33"/>
  <c r="M16" i="33" s="1"/>
  <c r="L16" i="33"/>
  <c r="L15" i="33"/>
  <c r="P15" i="33"/>
  <c r="S15" i="33" s="1"/>
  <c r="T15" i="33" s="1"/>
  <c r="V15" i="33"/>
  <c r="W15" i="33"/>
  <c r="I22" i="32"/>
  <c r="W21" i="32"/>
  <c r="V21" i="32"/>
  <c r="S21" i="32"/>
  <c r="T21" i="32" s="1"/>
  <c r="P21" i="32"/>
  <c r="Q21" i="32" s="1"/>
  <c r="N21" i="32"/>
  <c r="M21" i="32" s="1"/>
  <c r="L21" i="32"/>
  <c r="L19" i="32"/>
  <c r="P19" i="32"/>
  <c r="S19" i="32" s="1"/>
  <c r="T19" i="32" s="1"/>
  <c r="V19" i="32"/>
  <c r="W19" i="32"/>
  <c r="L20" i="32"/>
  <c r="P20" i="32"/>
  <c r="N20" i="32" s="1"/>
  <c r="M20" i="32" s="1"/>
  <c r="Q20" i="32"/>
  <c r="R20" i="32" s="1"/>
  <c r="V20" i="32"/>
  <c r="W20" i="32"/>
  <c r="L22" i="32"/>
  <c r="P22" i="32"/>
  <c r="N22" i="32" s="1"/>
  <c r="M22" i="32" s="1"/>
  <c r="V22" i="32"/>
  <c r="W22" i="32"/>
  <c r="W18" i="32"/>
  <c r="V18" i="32"/>
  <c r="P18" i="32"/>
  <c r="Q18" i="32" s="1"/>
  <c r="L18" i="32"/>
  <c r="W17" i="32"/>
  <c r="V17" i="32"/>
  <c r="S17" i="32"/>
  <c r="T17" i="32" s="1"/>
  <c r="P17" i="32"/>
  <c r="Q17" i="32" s="1"/>
  <c r="N17" i="32"/>
  <c r="M17" i="32" s="1"/>
  <c r="L17" i="32"/>
  <c r="W16" i="32"/>
  <c r="V16" i="32"/>
  <c r="P16" i="32"/>
  <c r="Q16" i="32" s="1"/>
  <c r="L16" i="32"/>
  <c r="W15" i="32"/>
  <c r="V15" i="32"/>
  <c r="P15" i="32"/>
  <c r="S15" i="32" s="1"/>
  <c r="T15" i="32" s="1"/>
  <c r="L15" i="32"/>
  <c r="W13" i="32"/>
  <c r="V13" i="32"/>
  <c r="P13" i="32"/>
  <c r="Q13" i="32" s="1"/>
  <c r="L13" i="32"/>
  <c r="W12" i="32"/>
  <c r="V12" i="32"/>
  <c r="P12" i="32"/>
  <c r="Q12" i="32" s="1"/>
  <c r="L12" i="32"/>
  <c r="W11" i="32"/>
  <c r="V11" i="32"/>
  <c r="P11" i="32"/>
  <c r="S11" i="32" s="1"/>
  <c r="T11" i="32" s="1"/>
  <c r="L11" i="32"/>
  <c r="W10" i="32"/>
  <c r="V10" i="32"/>
  <c r="S10" i="32"/>
  <c r="T10" i="32" s="1"/>
  <c r="P10" i="32"/>
  <c r="Q10" i="32" s="1"/>
  <c r="N10" i="32"/>
  <c r="M10" i="32" s="1"/>
  <c r="L10" i="32"/>
  <c r="W9" i="32"/>
  <c r="V9" i="32"/>
  <c r="P9" i="32"/>
  <c r="Q9" i="32" s="1"/>
  <c r="L9" i="32"/>
  <c r="W8" i="32"/>
  <c r="V8" i="32"/>
  <c r="S8" i="32"/>
  <c r="T8" i="32" s="1"/>
  <c r="P8" i="32"/>
  <c r="Q8" i="32" s="1"/>
  <c r="L8" i="32"/>
  <c r="W7" i="32"/>
  <c r="V7" i="32"/>
  <c r="P7" i="32"/>
  <c r="Q7" i="32" s="1"/>
  <c r="L7" i="32"/>
  <c r="W6" i="32"/>
  <c r="V6" i="32"/>
  <c r="S6" i="32"/>
  <c r="T6" i="32" s="1"/>
  <c r="Q6" i="32"/>
  <c r="P6" i="32"/>
  <c r="N6" i="32"/>
  <c r="M6" i="32" s="1"/>
  <c r="L6" i="32"/>
  <c r="W5" i="32"/>
  <c r="V5" i="32"/>
  <c r="S5" i="32"/>
  <c r="T5" i="32" s="1"/>
  <c r="Q5" i="32"/>
  <c r="P5" i="32"/>
  <c r="N5" i="32"/>
  <c r="M5" i="32" s="1"/>
  <c r="L5" i="32"/>
  <c r="W4" i="32"/>
  <c r="V4" i="32"/>
  <c r="S4" i="32"/>
  <c r="T4" i="32" s="1"/>
  <c r="P4" i="32"/>
  <c r="Q4" i="32" s="1"/>
  <c r="L4" i="32"/>
  <c r="W3" i="32"/>
  <c r="V3" i="32"/>
  <c r="P3" i="32"/>
  <c r="Q3" i="32" s="1"/>
  <c r="L3" i="32"/>
  <c r="R32" i="36" l="1"/>
  <c r="R35" i="36"/>
  <c r="R45" i="36"/>
  <c r="R43" i="36"/>
  <c r="R37" i="36"/>
  <c r="R47" i="36"/>
  <c r="R26" i="46"/>
  <c r="R16" i="47"/>
  <c r="R13" i="47"/>
  <c r="R15" i="47"/>
  <c r="R14" i="47"/>
  <c r="R12" i="47"/>
  <c r="R25" i="46"/>
  <c r="R24" i="46"/>
  <c r="R6" i="45"/>
  <c r="R17" i="45"/>
  <c r="R19" i="45"/>
  <c r="R13" i="38"/>
  <c r="R10" i="38"/>
  <c r="Q9" i="38"/>
  <c r="R9" i="38" s="1"/>
  <c r="N46" i="36"/>
  <c r="M46" i="36" s="1"/>
  <c r="R44" i="36"/>
  <c r="N44" i="36"/>
  <c r="M44" i="36" s="1"/>
  <c r="N39" i="36"/>
  <c r="M39" i="36" s="1"/>
  <c r="R42" i="36"/>
  <c r="N42" i="36"/>
  <c r="M42" i="36" s="1"/>
  <c r="N38" i="36"/>
  <c r="M38" i="36" s="1"/>
  <c r="R36" i="36"/>
  <c r="N36" i="36"/>
  <c r="M36" i="36" s="1"/>
  <c r="Q34" i="36"/>
  <c r="R34" i="36" s="1"/>
  <c r="N31" i="36"/>
  <c r="M31" i="36" s="1"/>
  <c r="N33" i="36"/>
  <c r="M33" i="36" s="1"/>
  <c r="R29" i="36"/>
  <c r="M29" i="36"/>
  <c r="R30" i="36"/>
  <c r="N28" i="36"/>
  <c r="M28" i="36" s="1"/>
  <c r="R27" i="36"/>
  <c r="N27" i="36"/>
  <c r="M27" i="36" s="1"/>
  <c r="R26" i="36"/>
  <c r="N25" i="36"/>
  <c r="M25" i="36" s="1"/>
  <c r="R22" i="36"/>
  <c r="Q24" i="36"/>
  <c r="R24" i="36" s="1"/>
  <c r="N22" i="36"/>
  <c r="M22" i="36" s="1"/>
  <c r="N19" i="36"/>
  <c r="M19" i="36" s="1"/>
  <c r="N18" i="36"/>
  <c r="M18" i="36" s="1"/>
  <c r="N15" i="36"/>
  <c r="M15" i="36" s="1"/>
  <c r="R9" i="36"/>
  <c r="N9" i="36"/>
  <c r="M9" i="36" s="1"/>
  <c r="R6" i="36"/>
  <c r="Q4" i="36"/>
  <c r="R4" i="36" s="1"/>
  <c r="N15" i="33"/>
  <c r="M15" i="33" s="1"/>
  <c r="Q15" i="33"/>
  <c r="S3" i="32"/>
  <c r="T3" i="32" s="1"/>
  <c r="N4" i="32"/>
  <c r="M4" i="32" s="1"/>
  <c r="S7" i="32"/>
  <c r="T7" i="32" s="1"/>
  <c r="N8" i="32"/>
  <c r="M8" i="32" s="1"/>
  <c r="S12" i="32"/>
  <c r="T12" i="32" s="1"/>
  <c r="Q22" i="32"/>
  <c r="R22" i="32" s="1"/>
  <c r="N3" i="32"/>
  <c r="M3" i="32" s="1"/>
  <c r="N7" i="32"/>
  <c r="M7" i="32" s="1"/>
  <c r="N12" i="32"/>
  <c r="M12" i="32" s="1"/>
  <c r="R17" i="32"/>
  <c r="R21" i="32"/>
  <c r="Q19" i="32"/>
  <c r="N19" i="32"/>
  <c r="M19" i="32" s="1"/>
  <c r="S22" i="32"/>
  <c r="T22" i="32" s="1"/>
  <c r="S20" i="32"/>
  <c r="T20" i="32" s="1"/>
  <c r="N18" i="32"/>
  <c r="M18" i="32" s="1"/>
  <c r="S18" i="32"/>
  <c r="T18" i="32" s="1"/>
  <c r="Q15" i="32"/>
  <c r="N16" i="32"/>
  <c r="M16" i="32" s="1"/>
  <c r="S16" i="32"/>
  <c r="T16" i="32" s="1"/>
  <c r="N15" i="32"/>
  <c r="M15" i="32" s="1"/>
  <c r="N13" i="32"/>
  <c r="M13" i="32" s="1"/>
  <c r="S13" i="32"/>
  <c r="T13" i="32" s="1"/>
  <c r="R4" i="32"/>
  <c r="R6" i="32"/>
  <c r="R10" i="32"/>
  <c r="R5" i="32"/>
  <c r="Q11" i="32"/>
  <c r="N11" i="32"/>
  <c r="M11" i="32" s="1"/>
  <c r="N9" i="32"/>
  <c r="M9" i="32" s="1"/>
  <c r="S9" i="32"/>
  <c r="T9" i="32" s="1"/>
  <c r="W23" i="27"/>
  <c r="V23" i="27"/>
  <c r="Q23" i="27"/>
  <c r="P23" i="27"/>
  <c r="S23" i="27" s="1"/>
  <c r="T23" i="27" s="1"/>
  <c r="L23" i="27"/>
  <c r="W22" i="27"/>
  <c r="V22" i="27"/>
  <c r="S22" i="27"/>
  <c r="T22" i="27" s="1"/>
  <c r="P22" i="27"/>
  <c r="Q22" i="27" s="1"/>
  <c r="N22" i="27"/>
  <c r="M22" i="27" s="1"/>
  <c r="L22" i="27"/>
  <c r="W21" i="27"/>
  <c r="V21" i="27"/>
  <c r="P21" i="27"/>
  <c r="S21" i="27" s="1"/>
  <c r="T21" i="27" s="1"/>
  <c r="L21" i="27"/>
  <c r="W20" i="27"/>
  <c r="V20" i="27"/>
  <c r="S20" i="27"/>
  <c r="T20" i="27" s="1"/>
  <c r="P20" i="27"/>
  <c r="Q20" i="27" s="1"/>
  <c r="N20" i="27"/>
  <c r="M20" i="27" s="1"/>
  <c r="L20" i="27"/>
  <c r="W19" i="27"/>
  <c r="V19" i="27"/>
  <c r="P19" i="27"/>
  <c r="Q19" i="27" s="1"/>
  <c r="L19" i="27"/>
  <c r="W18" i="27"/>
  <c r="V18" i="27"/>
  <c r="S18" i="27"/>
  <c r="T18" i="27" s="1"/>
  <c r="Q18" i="27"/>
  <c r="P18" i="27"/>
  <c r="N18" i="27"/>
  <c r="M18" i="27"/>
  <c r="L18" i="27"/>
  <c r="W17" i="27"/>
  <c r="V17" i="27"/>
  <c r="Q17" i="27"/>
  <c r="P17" i="27"/>
  <c r="S17" i="27" s="1"/>
  <c r="T17" i="27" s="1"/>
  <c r="L17" i="27"/>
  <c r="W15" i="27"/>
  <c r="V15" i="27"/>
  <c r="Q15" i="27"/>
  <c r="P15" i="27"/>
  <c r="S15" i="27" s="1"/>
  <c r="T15" i="27" s="1"/>
  <c r="L15" i="27"/>
  <c r="W13" i="27"/>
  <c r="V13" i="27"/>
  <c r="P13" i="27"/>
  <c r="S13" i="27" s="1"/>
  <c r="T13" i="27" s="1"/>
  <c r="L13" i="27"/>
  <c r="W11" i="27"/>
  <c r="V11" i="27"/>
  <c r="P11" i="27"/>
  <c r="S11" i="27" s="1"/>
  <c r="T11" i="27" s="1"/>
  <c r="L11" i="27"/>
  <c r="L10" i="27"/>
  <c r="P10" i="27"/>
  <c r="Q10" i="27" s="1"/>
  <c r="V10" i="27"/>
  <c r="W10" i="27"/>
  <c r="W9" i="27"/>
  <c r="V9" i="27"/>
  <c r="P9" i="27"/>
  <c r="Q9" i="27" s="1"/>
  <c r="L9" i="27"/>
  <c r="L24" i="27"/>
  <c r="P24" i="27"/>
  <c r="Q24" i="27" s="1"/>
  <c r="V24" i="27"/>
  <c r="W24" i="27"/>
  <c r="R20" i="27" l="1"/>
  <c r="R8" i="32"/>
  <c r="R39" i="36"/>
  <c r="R18" i="27"/>
  <c r="R22" i="27"/>
  <c r="R15" i="36"/>
  <c r="R15" i="33"/>
  <c r="R46" i="36"/>
  <c r="R38" i="36"/>
  <c r="R31" i="36"/>
  <c r="R33" i="36"/>
  <c r="R28" i="36"/>
  <c r="R25" i="36"/>
  <c r="R19" i="36"/>
  <c r="R18" i="36"/>
  <c r="R19" i="32"/>
  <c r="R15" i="32"/>
  <c r="R3" i="32"/>
  <c r="R12" i="32"/>
  <c r="R7" i="32"/>
  <c r="R18" i="32"/>
  <c r="R16" i="32"/>
  <c r="R13" i="32"/>
  <c r="R11" i="32"/>
  <c r="R9" i="32"/>
  <c r="N23" i="27"/>
  <c r="M23" i="27" s="1"/>
  <c r="Q21" i="27"/>
  <c r="N21" i="27"/>
  <c r="M21" i="27" s="1"/>
  <c r="N17" i="27"/>
  <c r="M17" i="27" s="1"/>
  <c r="N19" i="27"/>
  <c r="M19" i="27" s="1"/>
  <c r="S19" i="27"/>
  <c r="T19" i="27" s="1"/>
  <c r="Q13" i="27"/>
  <c r="N15" i="27"/>
  <c r="M15" i="27" s="1"/>
  <c r="N13" i="27"/>
  <c r="M13" i="27" s="1"/>
  <c r="Q11" i="27"/>
  <c r="N11" i="27"/>
  <c r="M11" i="27" s="1"/>
  <c r="S10" i="27"/>
  <c r="T10" i="27" s="1"/>
  <c r="N10" i="27"/>
  <c r="M10" i="27" s="1"/>
  <c r="N9" i="27"/>
  <c r="M9" i="27" s="1"/>
  <c r="S9" i="27"/>
  <c r="T9" i="27" s="1"/>
  <c r="S24" i="27"/>
  <c r="T24" i="27" s="1"/>
  <c r="N24" i="27"/>
  <c r="M24" i="27" s="1"/>
  <c r="I36" i="51"/>
  <c r="I35" i="51"/>
  <c r="I34" i="51"/>
  <c r="I28" i="51"/>
  <c r="I26" i="51"/>
  <c r="I25" i="51"/>
  <c r="I21" i="51"/>
  <c r="I20" i="51"/>
  <c r="I19" i="51"/>
  <c r="I18" i="51"/>
  <c r="I17" i="51"/>
  <c r="I13" i="51"/>
  <c r="I12" i="51"/>
  <c r="I11" i="51"/>
  <c r="L11" i="51"/>
  <c r="P11" i="51"/>
  <c r="N11" i="51" s="1"/>
  <c r="V11" i="51"/>
  <c r="W11" i="51"/>
  <c r="I10" i="51"/>
  <c r="I9" i="51"/>
  <c r="I8" i="51"/>
  <c r="I7" i="51"/>
  <c r="S11" i="51" l="1"/>
  <c r="T11" i="51" s="1"/>
  <c r="R23" i="27"/>
  <c r="R21" i="27"/>
  <c r="R15" i="27"/>
  <c r="R17" i="27"/>
  <c r="R19" i="27"/>
  <c r="R13" i="27"/>
  <c r="R11" i="27"/>
  <c r="R10" i="27"/>
  <c r="R9" i="27"/>
  <c r="R24" i="27"/>
  <c r="Q11" i="51"/>
  <c r="R11" i="51" s="1"/>
  <c r="M11" i="51"/>
  <c r="F5" i="31"/>
  <c r="I5" i="31"/>
  <c r="L5" i="31"/>
  <c r="P5" i="31"/>
  <c r="N5" i="31" s="1"/>
  <c r="M5" i="31" s="1"/>
  <c r="V5" i="31"/>
  <c r="W5" i="31"/>
  <c r="F6" i="31"/>
  <c r="I6" i="31"/>
  <c r="S6" i="31" s="1"/>
  <c r="T6" i="31" s="1"/>
  <c r="L6" i="31"/>
  <c r="P6" i="31"/>
  <c r="N6" i="31" s="1"/>
  <c r="M6" i="31" s="1"/>
  <c r="V6" i="31"/>
  <c r="W6" i="31"/>
  <c r="L7" i="31"/>
  <c r="P7" i="31"/>
  <c r="Q7" i="31" s="1"/>
  <c r="V7" i="31"/>
  <c r="W7" i="31"/>
  <c r="L8" i="31"/>
  <c r="P8" i="31"/>
  <c r="N8" i="31" s="1"/>
  <c r="M8" i="31" s="1"/>
  <c r="V8" i="31"/>
  <c r="W8" i="31"/>
  <c r="L9" i="31"/>
  <c r="P9" i="31"/>
  <c r="Q9" i="31" s="1"/>
  <c r="V9" i="31"/>
  <c r="W9" i="31"/>
  <c r="I10" i="31"/>
  <c r="L10" i="31"/>
  <c r="P10" i="31"/>
  <c r="Q10" i="31" s="1"/>
  <c r="V10" i="31"/>
  <c r="W10" i="31"/>
  <c r="L11" i="31"/>
  <c r="P11" i="31"/>
  <c r="S11" i="31" s="1"/>
  <c r="T11" i="31" s="1"/>
  <c r="Q11" i="31"/>
  <c r="V11" i="31"/>
  <c r="W11" i="31"/>
  <c r="I12" i="31"/>
  <c r="S12" i="31" s="1"/>
  <c r="T12" i="31" s="1"/>
  <c r="L12" i="31"/>
  <c r="P12" i="31"/>
  <c r="Q12" i="31" s="1"/>
  <c r="V12" i="31"/>
  <c r="W12" i="31"/>
  <c r="I13" i="31"/>
  <c r="L13" i="31"/>
  <c r="P13" i="31"/>
  <c r="Q13" i="31" s="1"/>
  <c r="V13" i="31"/>
  <c r="W13" i="31"/>
  <c r="I14" i="31"/>
  <c r="L14" i="31"/>
  <c r="P14" i="31"/>
  <c r="N14" i="31" s="1"/>
  <c r="M14" i="31" s="1"/>
  <c r="V14" i="31"/>
  <c r="W14" i="31"/>
  <c r="I15" i="31"/>
  <c r="L15" i="31"/>
  <c r="N15" i="31"/>
  <c r="M15" i="31" s="1"/>
  <c r="P15" i="31"/>
  <c r="Q15" i="31"/>
  <c r="S15" i="31"/>
  <c r="T15" i="31" s="1"/>
  <c r="V15" i="31"/>
  <c r="W15" i="31"/>
  <c r="L16" i="31"/>
  <c r="P16" i="31"/>
  <c r="Q16" i="31" s="1"/>
  <c r="V16" i="31"/>
  <c r="W16" i="31"/>
  <c r="F17" i="31"/>
  <c r="I17" i="31"/>
  <c r="L17" i="31"/>
  <c r="N17" i="31"/>
  <c r="M17" i="31" s="1"/>
  <c r="P17" i="31"/>
  <c r="Q17" i="31"/>
  <c r="S17" i="31"/>
  <c r="T17" i="31" s="1"/>
  <c r="V17" i="31"/>
  <c r="W17" i="31"/>
  <c r="F18" i="31"/>
  <c r="I18" i="31"/>
  <c r="L18" i="31"/>
  <c r="P18" i="31"/>
  <c r="N18" i="31" s="1"/>
  <c r="M18" i="31" s="1"/>
  <c r="Q18" i="31"/>
  <c r="S18" i="31"/>
  <c r="T18" i="31" s="1"/>
  <c r="V18" i="31"/>
  <c r="W18" i="31"/>
  <c r="L19" i="31"/>
  <c r="N19" i="31"/>
  <c r="M19" i="31" s="1"/>
  <c r="P19" i="31"/>
  <c r="Q19" i="31"/>
  <c r="S19" i="31"/>
  <c r="T19" i="31" s="1"/>
  <c r="V19" i="31"/>
  <c r="W19" i="31"/>
  <c r="L20" i="31"/>
  <c r="P20" i="31"/>
  <c r="Q20" i="31" s="1"/>
  <c r="V20" i="31"/>
  <c r="W20" i="31"/>
  <c r="I21" i="31"/>
  <c r="L21" i="31"/>
  <c r="P21" i="31"/>
  <c r="N21" i="31" s="1"/>
  <c r="M21" i="31" s="1"/>
  <c r="V21" i="31"/>
  <c r="W21" i="31"/>
  <c r="L22" i="31"/>
  <c r="P22" i="31"/>
  <c r="Q22" i="31" s="1"/>
  <c r="V22" i="31"/>
  <c r="W22" i="31"/>
  <c r="I23" i="31"/>
  <c r="L23" i="31"/>
  <c r="P23" i="31"/>
  <c r="Q23" i="31" s="1"/>
  <c r="V23" i="31"/>
  <c r="W23" i="31"/>
  <c r="L24" i="31"/>
  <c r="P24" i="31"/>
  <c r="N24" i="31" s="1"/>
  <c r="M24" i="31" s="1"/>
  <c r="V24" i="31"/>
  <c r="W24" i="31"/>
  <c r="L25" i="31"/>
  <c r="P25" i="31"/>
  <c r="Q25" i="31" s="1"/>
  <c r="V25" i="31"/>
  <c r="W25" i="31"/>
  <c r="L26" i="31"/>
  <c r="P26" i="31"/>
  <c r="N26" i="31" s="1"/>
  <c r="M26" i="31" s="1"/>
  <c r="V26" i="31"/>
  <c r="W26" i="31"/>
  <c r="F27" i="31"/>
  <c r="H27" i="31"/>
  <c r="P27" i="31" s="1"/>
  <c r="I27" i="31"/>
  <c r="L27" i="31"/>
  <c r="V27" i="31"/>
  <c r="W27" i="31"/>
  <c r="N20" i="31" l="1"/>
  <c r="M20" i="31" s="1"/>
  <c r="N16" i="31"/>
  <c r="M16" i="31" s="1"/>
  <c r="N10" i="31"/>
  <c r="M10" i="31" s="1"/>
  <c r="S22" i="31"/>
  <c r="T22" i="31" s="1"/>
  <c r="S20" i="31"/>
  <c r="T20" i="31" s="1"/>
  <c r="R19" i="31"/>
  <c r="R17" i="31"/>
  <c r="S16" i="31"/>
  <c r="T16" i="31" s="1"/>
  <c r="R15" i="31"/>
  <c r="S13" i="31"/>
  <c r="T13" i="31" s="1"/>
  <c r="N11" i="31"/>
  <c r="M11" i="31" s="1"/>
  <c r="S10" i="31"/>
  <c r="T10" i="31" s="1"/>
  <c r="S5" i="31"/>
  <c r="T5" i="31" s="1"/>
  <c r="N22" i="31"/>
  <c r="M22" i="31" s="1"/>
  <c r="R18" i="31"/>
  <c r="N13" i="31"/>
  <c r="M13" i="31" s="1"/>
  <c r="S23" i="31"/>
  <c r="T23" i="31" s="1"/>
  <c r="S21" i="31"/>
  <c r="T21" i="31" s="1"/>
  <c r="S14" i="31"/>
  <c r="T14" i="31" s="1"/>
  <c r="N27" i="31"/>
  <c r="M27" i="31" s="1"/>
  <c r="S27" i="31"/>
  <c r="T27" i="31" s="1"/>
  <c r="Q27" i="31"/>
  <c r="Q26" i="31"/>
  <c r="R26" i="31" s="1"/>
  <c r="S25" i="31"/>
  <c r="T25" i="31" s="1"/>
  <c r="N25" i="31"/>
  <c r="M25" i="31" s="1"/>
  <c r="Q24" i="31"/>
  <c r="R24" i="31" s="1"/>
  <c r="N23" i="31"/>
  <c r="M23" i="31" s="1"/>
  <c r="Q21" i="31"/>
  <c r="R21" i="31" s="1"/>
  <c r="Q14" i="31"/>
  <c r="R14" i="31" s="1"/>
  <c r="N12" i="31"/>
  <c r="M12" i="31" s="1"/>
  <c r="S9" i="31"/>
  <c r="T9" i="31" s="1"/>
  <c r="N9" i="31"/>
  <c r="M9" i="31" s="1"/>
  <c r="Q8" i="31"/>
  <c r="R8" i="31" s="1"/>
  <c r="S7" i="31"/>
  <c r="T7" i="31" s="1"/>
  <c r="N7" i="31"/>
  <c r="M7" i="31" s="1"/>
  <c r="Q6" i="31"/>
  <c r="R6" i="31" s="1"/>
  <c r="Q5" i="31"/>
  <c r="R5" i="31" s="1"/>
  <c r="S26" i="31"/>
  <c r="T26" i="31" s="1"/>
  <c r="S24" i="31"/>
  <c r="T24" i="31" s="1"/>
  <c r="S8" i="31"/>
  <c r="T8" i="31" s="1"/>
  <c r="I26" i="50"/>
  <c r="S26" i="50" s="1"/>
  <c r="T26" i="50" s="1"/>
  <c r="L26" i="50"/>
  <c r="N26" i="50"/>
  <c r="M26" i="50" s="1"/>
  <c r="P26" i="50"/>
  <c r="Q26" i="50"/>
  <c r="V26" i="50"/>
  <c r="W26" i="50"/>
  <c r="I25" i="50"/>
  <c r="I27" i="50"/>
  <c r="I28" i="50"/>
  <c r="I24" i="50"/>
  <c r="I20" i="50"/>
  <c r="I19" i="50"/>
  <c r="I18" i="50"/>
  <c r="I16" i="50"/>
  <c r="I15" i="50"/>
  <c r="I14" i="50"/>
  <c r="I13" i="50"/>
  <c r="I12" i="50"/>
  <c r="I9" i="50"/>
  <c r="I7" i="50"/>
  <c r="S7" i="50" s="1"/>
  <c r="T7" i="50" s="1"/>
  <c r="L7" i="50"/>
  <c r="P7" i="50"/>
  <c r="Q7" i="50" s="1"/>
  <c r="V7" i="50"/>
  <c r="W7" i="50"/>
  <c r="I6" i="50"/>
  <c r="I5" i="50"/>
  <c r="I4" i="50"/>
  <c r="I3" i="50"/>
  <c r="L16" i="25"/>
  <c r="N16" i="25"/>
  <c r="M16" i="25" s="1"/>
  <c r="P16" i="25"/>
  <c r="Q16" i="25"/>
  <c r="S16" i="25"/>
  <c r="T16" i="25" s="1"/>
  <c r="V16" i="25"/>
  <c r="W16" i="25"/>
  <c r="I33" i="40"/>
  <c r="I32" i="40"/>
  <c r="L32" i="40"/>
  <c r="N32" i="40"/>
  <c r="M32" i="40" s="1"/>
  <c r="P32" i="40"/>
  <c r="Q32" i="40"/>
  <c r="S32" i="40"/>
  <c r="T32" i="40" s="1"/>
  <c r="V32" i="40"/>
  <c r="W32" i="40"/>
  <c r="I30" i="40"/>
  <c r="I13" i="40"/>
  <c r="I12" i="40"/>
  <c r="I11" i="40"/>
  <c r="I10" i="40"/>
  <c r="I2" i="40"/>
  <c r="R13" i="31" l="1"/>
  <c r="R10" i="31"/>
  <c r="R11" i="31"/>
  <c r="R16" i="31"/>
  <c r="R9" i="31"/>
  <c r="R20" i="31"/>
  <c r="R25" i="31"/>
  <c r="R22" i="31"/>
  <c r="R12" i="31"/>
  <c r="R27" i="31"/>
  <c r="R7" i="31"/>
  <c r="R23" i="31"/>
  <c r="R26" i="50"/>
  <c r="N7" i="50"/>
  <c r="M7" i="50" s="1"/>
  <c r="R16" i="25"/>
  <c r="R32" i="40"/>
  <c r="W35" i="39"/>
  <c r="V35" i="39"/>
  <c r="P35" i="39"/>
  <c r="Q35" i="39" s="1"/>
  <c r="L35" i="39"/>
  <c r="I35" i="39"/>
  <c r="S35" i="39" s="1"/>
  <c r="T35" i="39" s="1"/>
  <c r="F35" i="39"/>
  <c r="L34" i="39"/>
  <c r="N34" i="39"/>
  <c r="M34" i="39" s="1"/>
  <c r="P34" i="39"/>
  <c r="Q34" i="39"/>
  <c r="S34" i="39"/>
  <c r="T34" i="39" s="1"/>
  <c r="V34" i="39"/>
  <c r="W34" i="39"/>
  <c r="W17" i="39"/>
  <c r="V17" i="39"/>
  <c r="P17" i="39"/>
  <c r="N17" i="39" s="1"/>
  <c r="M17" i="39" s="1"/>
  <c r="L17" i="39"/>
  <c r="I17" i="39"/>
  <c r="S17" i="39" s="1"/>
  <c r="T17" i="39" s="1"/>
  <c r="F17" i="39"/>
  <c r="L16" i="39"/>
  <c r="P16" i="39"/>
  <c r="N16" i="39" s="1"/>
  <c r="M16" i="39" s="1"/>
  <c r="V16" i="39"/>
  <c r="W16" i="39"/>
  <c r="W13" i="39"/>
  <c r="V13" i="39"/>
  <c r="P13" i="39"/>
  <c r="Q13" i="39" s="1"/>
  <c r="L13" i="39"/>
  <c r="I13" i="39"/>
  <c r="F13" i="39"/>
  <c r="I10" i="39"/>
  <c r="I12" i="39"/>
  <c r="L12" i="39"/>
  <c r="P12" i="39"/>
  <c r="V12" i="39"/>
  <c r="W12" i="39"/>
  <c r="R7" i="50" l="1"/>
  <c r="S12" i="39"/>
  <c r="T12" i="39" s="1"/>
  <c r="S13" i="39"/>
  <c r="T13" i="39" s="1"/>
  <c r="N35" i="39"/>
  <c r="M35" i="39" s="1"/>
  <c r="R34" i="39"/>
  <c r="Q17" i="39"/>
  <c r="R17" i="39" s="1"/>
  <c r="Q16" i="39"/>
  <c r="R16" i="39" s="1"/>
  <c r="S16" i="39"/>
  <c r="T16" i="39" s="1"/>
  <c r="N13" i="39"/>
  <c r="M13" i="39" s="1"/>
  <c r="Q12" i="39"/>
  <c r="N12" i="39"/>
  <c r="M12" i="39" s="1"/>
  <c r="W37" i="29"/>
  <c r="V37" i="29"/>
  <c r="P37" i="29"/>
  <c r="S37" i="29" s="1"/>
  <c r="T37" i="29" s="1"/>
  <c r="L37" i="29"/>
  <c r="W35" i="29"/>
  <c r="V35" i="29"/>
  <c r="P35" i="29"/>
  <c r="S35" i="29" s="1"/>
  <c r="T35" i="29" s="1"/>
  <c r="L35" i="29"/>
  <c r="R35" i="39" l="1"/>
  <c r="R13" i="39"/>
  <c r="R12" i="39"/>
  <c r="Q37" i="29"/>
  <c r="R37" i="29" s="1"/>
  <c r="N37" i="29"/>
  <c r="M37" i="29" s="1"/>
  <c r="Q35" i="29"/>
  <c r="N35" i="29"/>
  <c r="M35" i="29" s="1"/>
  <c r="R35" i="29" l="1"/>
  <c r="W17" i="29" l="1"/>
  <c r="V17" i="29"/>
  <c r="S17" i="29"/>
  <c r="T17" i="29" s="1"/>
  <c r="P17" i="29"/>
  <c r="Q17" i="29" s="1"/>
  <c r="N17" i="29"/>
  <c r="M17" i="29" s="1"/>
  <c r="L17" i="29"/>
  <c r="I16" i="29"/>
  <c r="W15" i="29"/>
  <c r="V15" i="29"/>
  <c r="P15" i="29"/>
  <c r="Q15" i="29" s="1"/>
  <c r="L15" i="29"/>
  <c r="I14" i="29"/>
  <c r="W13" i="29"/>
  <c r="V13" i="29"/>
  <c r="P13" i="29"/>
  <c r="Q13" i="29" s="1"/>
  <c r="L13" i="29"/>
  <c r="I12" i="29"/>
  <c r="I10" i="29"/>
  <c r="I2" i="29"/>
  <c r="H40" i="28"/>
  <c r="P40" i="28" s="1"/>
  <c r="Q40" i="28" s="1"/>
  <c r="I40" i="28"/>
  <c r="L40" i="28"/>
  <c r="V40" i="28"/>
  <c r="W40" i="28"/>
  <c r="I38" i="28"/>
  <c r="I37" i="28"/>
  <c r="I36" i="28"/>
  <c r="W35" i="28"/>
  <c r="V35" i="28"/>
  <c r="P35" i="28"/>
  <c r="Q35" i="28" s="1"/>
  <c r="R35" i="28" s="1"/>
  <c r="N35" i="28"/>
  <c r="M35" i="28" s="1"/>
  <c r="L35" i="28"/>
  <c r="I35" i="28"/>
  <c r="S35" i="28" s="1"/>
  <c r="T35" i="28" s="1"/>
  <c r="I32" i="28"/>
  <c r="I31" i="28"/>
  <c r="I29" i="28"/>
  <c r="I27" i="28"/>
  <c r="I26" i="28"/>
  <c r="I25" i="28"/>
  <c r="I24" i="28"/>
  <c r="I19" i="28"/>
  <c r="I15" i="28"/>
  <c r="I14" i="28"/>
  <c r="I13" i="28"/>
  <c r="L13" i="28"/>
  <c r="P13" i="28"/>
  <c r="Q13" i="28" s="1"/>
  <c r="V13" i="28"/>
  <c r="W13" i="28"/>
  <c r="W12" i="28"/>
  <c r="V12" i="28"/>
  <c r="P12" i="28"/>
  <c r="N12" i="28" s="1"/>
  <c r="M12" i="28" s="1"/>
  <c r="L12" i="28"/>
  <c r="W11" i="28"/>
  <c r="V11" i="28"/>
  <c r="P11" i="28"/>
  <c r="Q11" i="28" s="1"/>
  <c r="L11" i="28"/>
  <c r="I11" i="28"/>
  <c r="I9" i="28"/>
  <c r="I7" i="28"/>
  <c r="I2" i="28"/>
  <c r="R17" i="29" l="1"/>
  <c r="N15" i="29"/>
  <c r="M15" i="29" s="1"/>
  <c r="S15" i="29"/>
  <c r="T15" i="29" s="1"/>
  <c r="N13" i="29"/>
  <c r="M13" i="29" s="1"/>
  <c r="S13" i="29"/>
  <c r="T13" i="29" s="1"/>
  <c r="N40" i="28"/>
  <c r="M40" i="28" s="1"/>
  <c r="S40" i="28"/>
  <c r="T40" i="28" s="1"/>
  <c r="R40" i="28"/>
  <c r="N13" i="28"/>
  <c r="M13" i="28" s="1"/>
  <c r="S12" i="28"/>
  <c r="T12" i="28" s="1"/>
  <c r="S13" i="28"/>
  <c r="T13" i="28" s="1"/>
  <c r="S11" i="28"/>
  <c r="T11" i="28" s="1"/>
  <c r="Q12" i="28"/>
  <c r="R12" i="28" s="1"/>
  <c r="N11" i="28"/>
  <c r="M11" i="28" s="1"/>
  <c r="W42" i="52"/>
  <c r="V42" i="52"/>
  <c r="S42" i="52"/>
  <c r="T42" i="52" s="1"/>
  <c r="P42" i="52"/>
  <c r="Q42" i="52" s="1"/>
  <c r="R42" i="52" s="1"/>
  <c r="N42" i="52"/>
  <c r="M42" i="52" s="1"/>
  <c r="L42" i="52"/>
  <c r="W41" i="52"/>
  <c r="V41" i="52"/>
  <c r="S41" i="52"/>
  <c r="T41" i="52" s="1"/>
  <c r="Q41" i="52"/>
  <c r="R41" i="52" s="1"/>
  <c r="P41" i="52"/>
  <c r="N41" i="52"/>
  <c r="M41" i="52" s="1"/>
  <c r="L41" i="52"/>
  <c r="I41" i="52"/>
  <c r="W40" i="52"/>
  <c r="V40" i="52"/>
  <c r="T40" i="52"/>
  <c r="P40" i="52"/>
  <c r="L40" i="52"/>
  <c r="I40" i="52"/>
  <c r="S40" i="52" s="1"/>
  <c r="W39" i="52"/>
  <c r="V39" i="52"/>
  <c r="S39" i="52"/>
  <c r="T39" i="52" s="1"/>
  <c r="P39" i="52"/>
  <c r="Q39" i="52" s="1"/>
  <c r="N39" i="52"/>
  <c r="M39" i="52" s="1"/>
  <c r="L39" i="52"/>
  <c r="I39" i="52"/>
  <c r="W38" i="52"/>
  <c r="V38" i="52"/>
  <c r="S38" i="52"/>
  <c r="T38" i="52" s="1"/>
  <c r="Q38" i="52"/>
  <c r="P38" i="52"/>
  <c r="N38" i="52"/>
  <c r="R38" i="52" s="1"/>
  <c r="L38" i="52"/>
  <c r="W37" i="52"/>
  <c r="V37" i="52"/>
  <c r="P37" i="52"/>
  <c r="Q37" i="52" s="1"/>
  <c r="L37" i="52"/>
  <c r="W36" i="52"/>
  <c r="V36" i="52"/>
  <c r="S36" i="52"/>
  <c r="T36" i="52" s="1"/>
  <c r="R36" i="52"/>
  <c r="Q36" i="52"/>
  <c r="P36" i="52"/>
  <c r="N36" i="52"/>
  <c r="M36" i="52"/>
  <c r="L36" i="52"/>
  <c r="W35" i="52"/>
  <c r="V35" i="52"/>
  <c r="P35" i="52"/>
  <c r="Q35" i="52" s="1"/>
  <c r="L35" i="52"/>
  <c r="W34" i="52"/>
  <c r="V34" i="52"/>
  <c r="S34" i="52"/>
  <c r="T34" i="52" s="1"/>
  <c r="Q34" i="52"/>
  <c r="P34" i="52"/>
  <c r="N34" i="52"/>
  <c r="R34" i="52" s="1"/>
  <c r="L34" i="52"/>
  <c r="W33" i="52"/>
  <c r="V33" i="52"/>
  <c r="P33" i="52"/>
  <c r="Q33" i="52" s="1"/>
  <c r="L33" i="52"/>
  <c r="W32" i="52"/>
  <c r="V32" i="52"/>
  <c r="S32" i="52"/>
  <c r="T32" i="52" s="1"/>
  <c r="R32" i="52"/>
  <c r="Q32" i="52"/>
  <c r="P32" i="52"/>
  <c r="N32" i="52"/>
  <c r="M32" i="52"/>
  <c r="L32" i="52"/>
  <c r="W31" i="52"/>
  <c r="V31" i="52"/>
  <c r="P31" i="52"/>
  <c r="Q31" i="52" s="1"/>
  <c r="L31" i="52"/>
  <c r="W30" i="52"/>
  <c r="V30" i="52"/>
  <c r="S30" i="52"/>
  <c r="T30" i="52" s="1"/>
  <c r="Q30" i="52"/>
  <c r="P30" i="52"/>
  <c r="N30" i="52"/>
  <c r="R30" i="52" s="1"/>
  <c r="L30" i="52"/>
  <c r="W29" i="52"/>
  <c r="V29" i="52"/>
  <c r="P29" i="52"/>
  <c r="Q29" i="52" s="1"/>
  <c r="L29" i="52"/>
  <c r="W28" i="52"/>
  <c r="V28" i="52"/>
  <c r="S28" i="52"/>
  <c r="T28" i="52" s="1"/>
  <c r="R28" i="52"/>
  <c r="Q28" i="52"/>
  <c r="P28" i="52"/>
  <c r="N28" i="52"/>
  <c r="M28" i="52"/>
  <c r="L28" i="52"/>
  <c r="W27" i="52"/>
  <c r="V27" i="52"/>
  <c r="P27" i="52"/>
  <c r="Q27" i="52" s="1"/>
  <c r="L27" i="52"/>
  <c r="W26" i="52"/>
  <c r="V26" i="52"/>
  <c r="S26" i="52"/>
  <c r="T26" i="52" s="1"/>
  <c r="Q26" i="52"/>
  <c r="P26" i="52"/>
  <c r="N26" i="52"/>
  <c r="R26" i="52" s="1"/>
  <c r="L26" i="52"/>
  <c r="W25" i="52"/>
  <c r="V25" i="52"/>
  <c r="P25" i="52"/>
  <c r="Q25" i="52" s="1"/>
  <c r="L25" i="52"/>
  <c r="W24" i="52"/>
  <c r="V24" i="52"/>
  <c r="S24" i="52"/>
  <c r="T24" i="52" s="1"/>
  <c r="R24" i="52"/>
  <c r="Q24" i="52"/>
  <c r="P24" i="52"/>
  <c r="N24" i="52"/>
  <c r="M24" i="52"/>
  <c r="L24" i="52"/>
  <c r="W23" i="52"/>
  <c r="V23" i="52"/>
  <c r="P23" i="52"/>
  <c r="Q23" i="52" s="1"/>
  <c r="L23" i="52"/>
  <c r="W22" i="52"/>
  <c r="V22" i="52"/>
  <c r="S22" i="52"/>
  <c r="T22" i="52" s="1"/>
  <c r="Q22" i="52"/>
  <c r="P22" i="52"/>
  <c r="N22" i="52"/>
  <c r="R22" i="52" s="1"/>
  <c r="L22" i="52"/>
  <c r="W21" i="52"/>
  <c r="V21" i="52"/>
  <c r="L21" i="52"/>
  <c r="J21" i="52"/>
  <c r="H21" i="52"/>
  <c r="P21" i="52" s="1"/>
  <c r="W20" i="52"/>
  <c r="V20" i="52"/>
  <c r="L20" i="52"/>
  <c r="H20" i="52"/>
  <c r="P20" i="52" s="1"/>
  <c r="W19" i="52"/>
  <c r="V19" i="52"/>
  <c r="S19" i="52"/>
  <c r="T19" i="52" s="1"/>
  <c r="P19" i="52"/>
  <c r="Q19" i="52" s="1"/>
  <c r="N19" i="52"/>
  <c r="M19" i="52" s="1"/>
  <c r="L19" i="52"/>
  <c r="W18" i="52"/>
  <c r="V18" i="52"/>
  <c r="Q18" i="52"/>
  <c r="P18" i="52"/>
  <c r="L18" i="52"/>
  <c r="W17" i="52"/>
  <c r="V17" i="52"/>
  <c r="S17" i="52"/>
  <c r="T17" i="52" s="1"/>
  <c r="R17" i="52"/>
  <c r="P17" i="52"/>
  <c r="Q17" i="52" s="1"/>
  <c r="N17" i="52"/>
  <c r="M17" i="52" s="1"/>
  <c r="L17" i="52"/>
  <c r="W16" i="52"/>
  <c r="V16" i="52"/>
  <c r="Q16" i="52"/>
  <c r="P16" i="52"/>
  <c r="L16" i="52"/>
  <c r="W15" i="52"/>
  <c r="V15" i="52"/>
  <c r="S15" i="52"/>
  <c r="T15" i="52" s="1"/>
  <c r="P15" i="52"/>
  <c r="Q15" i="52" s="1"/>
  <c r="N15" i="52"/>
  <c r="M15" i="52" s="1"/>
  <c r="L15" i="52"/>
  <c r="W14" i="52"/>
  <c r="V14" i="52"/>
  <c r="Q14" i="52"/>
  <c r="P14" i="52"/>
  <c r="L14" i="52"/>
  <c r="W13" i="52"/>
  <c r="V13" i="52"/>
  <c r="S13" i="52"/>
  <c r="T13" i="52" s="1"/>
  <c r="P13" i="52"/>
  <c r="Q13" i="52" s="1"/>
  <c r="N13" i="52"/>
  <c r="M13" i="52" s="1"/>
  <c r="L13" i="52"/>
  <c r="W12" i="52"/>
  <c r="V12" i="52"/>
  <c r="Q12" i="52"/>
  <c r="P12" i="52"/>
  <c r="L12" i="52"/>
  <c r="W11" i="52"/>
  <c r="V11" i="52"/>
  <c r="P11" i="52"/>
  <c r="Q11" i="52" s="1"/>
  <c r="N11" i="52"/>
  <c r="M11" i="52" s="1"/>
  <c r="L11" i="52"/>
  <c r="W10" i="52"/>
  <c r="V10" i="52"/>
  <c r="P10" i="52"/>
  <c r="L10" i="52"/>
  <c r="W9" i="52"/>
  <c r="V9" i="52"/>
  <c r="S9" i="52"/>
  <c r="T9" i="52" s="1"/>
  <c r="P9" i="52"/>
  <c r="Q9" i="52" s="1"/>
  <c r="L9" i="52"/>
  <c r="W8" i="52"/>
  <c r="V8" i="52"/>
  <c r="Q8" i="52"/>
  <c r="P8" i="52"/>
  <c r="L8" i="52"/>
  <c r="W7" i="52"/>
  <c r="V7" i="52"/>
  <c r="T7" i="52"/>
  <c r="S7" i="52"/>
  <c r="P7" i="52"/>
  <c r="Q7" i="52" s="1"/>
  <c r="N7" i="52"/>
  <c r="M7" i="52" s="1"/>
  <c r="L7" i="52"/>
  <c r="W6" i="52"/>
  <c r="V6" i="52"/>
  <c r="P6" i="52"/>
  <c r="L6" i="52"/>
  <c r="W5" i="52"/>
  <c r="V5" i="52"/>
  <c r="P5" i="52"/>
  <c r="Q5" i="52" s="1"/>
  <c r="L5" i="52"/>
  <c r="W4" i="52"/>
  <c r="V4" i="52"/>
  <c r="Q4" i="52"/>
  <c r="P4" i="52"/>
  <c r="N4" i="52" s="1"/>
  <c r="M4" i="52" s="1"/>
  <c r="L4" i="52"/>
  <c r="I4" i="52"/>
  <c r="S4" i="52" s="1"/>
  <c r="T4" i="52" s="1"/>
  <c r="W3" i="52"/>
  <c r="V3" i="52"/>
  <c r="S3" i="52"/>
  <c r="T3" i="52" s="1"/>
  <c r="P3" i="52"/>
  <c r="N3" i="52" s="1"/>
  <c r="M3" i="52" s="1"/>
  <c r="L3" i="52"/>
  <c r="W2" i="52"/>
  <c r="V2" i="52"/>
  <c r="S2" i="52"/>
  <c r="T2" i="52" s="1"/>
  <c r="R2" i="52"/>
  <c r="Q2" i="52"/>
  <c r="P2" i="52"/>
  <c r="N2" i="52"/>
  <c r="M2" i="52"/>
  <c r="L2" i="52"/>
  <c r="R13" i="52" l="1"/>
  <c r="M22" i="52"/>
  <c r="M30" i="52"/>
  <c r="M38" i="52"/>
  <c r="R39" i="52"/>
  <c r="R11" i="52"/>
  <c r="R4" i="52"/>
  <c r="M26" i="52"/>
  <c r="M34" i="52"/>
  <c r="R15" i="29"/>
  <c r="R13" i="29"/>
  <c r="R13" i="28"/>
  <c r="R11" i="28"/>
  <c r="R8" i="52"/>
  <c r="Q20" i="52"/>
  <c r="N20" i="52"/>
  <c r="M20" i="52" s="1"/>
  <c r="S20" i="52"/>
  <c r="T20" i="52" s="1"/>
  <c r="Q21" i="52"/>
  <c r="N21" i="52"/>
  <c r="M21" i="52" s="1"/>
  <c r="S21" i="52"/>
  <c r="T21" i="52" s="1"/>
  <c r="S5" i="52"/>
  <c r="T5" i="52" s="1"/>
  <c r="R7" i="52"/>
  <c r="S10" i="52"/>
  <c r="T10" i="52" s="1"/>
  <c r="N10" i="52"/>
  <c r="M10" i="52" s="1"/>
  <c r="R15" i="52"/>
  <c r="R19" i="52"/>
  <c r="Q3" i="52"/>
  <c r="R3" i="52" s="1"/>
  <c r="N5" i="52"/>
  <c r="M5" i="52" s="1"/>
  <c r="Q10" i="52"/>
  <c r="S12" i="52"/>
  <c r="T12" i="52" s="1"/>
  <c r="N12" i="52"/>
  <c r="M12" i="52" s="1"/>
  <c r="S16" i="52"/>
  <c r="T16" i="52" s="1"/>
  <c r="N16" i="52"/>
  <c r="M16" i="52" s="1"/>
  <c r="S23" i="52"/>
  <c r="T23" i="52" s="1"/>
  <c r="S25" i="52"/>
  <c r="T25" i="52" s="1"/>
  <c r="S27" i="52"/>
  <c r="T27" i="52" s="1"/>
  <c r="S29" i="52"/>
  <c r="T29" i="52" s="1"/>
  <c r="S31" i="52"/>
  <c r="T31" i="52" s="1"/>
  <c r="S33" i="52"/>
  <c r="T33" i="52" s="1"/>
  <c r="S35" i="52"/>
  <c r="T35" i="52" s="1"/>
  <c r="S37" i="52"/>
  <c r="T37" i="52" s="1"/>
  <c r="N40" i="52"/>
  <c r="M40" i="52" s="1"/>
  <c r="Q40" i="52"/>
  <c r="S6" i="52"/>
  <c r="T6" i="52" s="1"/>
  <c r="N6" i="52"/>
  <c r="M6" i="52" s="1"/>
  <c r="R16" i="52"/>
  <c r="Q6" i="52"/>
  <c r="S8" i="52"/>
  <c r="T8" i="52" s="1"/>
  <c r="N8" i="52"/>
  <c r="M8" i="52" s="1"/>
  <c r="N9" i="52"/>
  <c r="M9" i="52" s="1"/>
  <c r="S11" i="52"/>
  <c r="T11" i="52" s="1"/>
  <c r="S14" i="52"/>
  <c r="T14" i="52" s="1"/>
  <c r="N14" i="52"/>
  <c r="M14" i="52" s="1"/>
  <c r="S18" i="52"/>
  <c r="T18" i="52" s="1"/>
  <c r="N18" i="52"/>
  <c r="M18" i="52" s="1"/>
  <c r="N23" i="52"/>
  <c r="M23" i="52" s="1"/>
  <c r="N25" i="52"/>
  <c r="M25" i="52" s="1"/>
  <c r="N27" i="52"/>
  <c r="M27" i="52" s="1"/>
  <c r="N29" i="52"/>
  <c r="M29" i="52" s="1"/>
  <c r="N31" i="52"/>
  <c r="M31" i="52" s="1"/>
  <c r="N33" i="52"/>
  <c r="M33" i="52" s="1"/>
  <c r="N35" i="52"/>
  <c r="M35" i="52" s="1"/>
  <c r="N37" i="52"/>
  <c r="M37" i="52" s="1"/>
  <c r="W33" i="23"/>
  <c r="V33" i="23"/>
  <c r="S33" i="23"/>
  <c r="T33" i="23" s="1"/>
  <c r="P33" i="23"/>
  <c r="Q33" i="23" s="1"/>
  <c r="N33" i="23"/>
  <c r="M33" i="23" s="1"/>
  <c r="L33" i="23"/>
  <c r="W26" i="23"/>
  <c r="V26" i="23"/>
  <c r="S26" i="23"/>
  <c r="T26" i="23" s="1"/>
  <c r="P26" i="23"/>
  <c r="Q26" i="23" s="1"/>
  <c r="N26" i="23"/>
  <c r="M26" i="23" s="1"/>
  <c r="L26" i="23"/>
  <c r="W24" i="23"/>
  <c r="V24" i="23"/>
  <c r="P24" i="23"/>
  <c r="S24" i="23" s="1"/>
  <c r="T24" i="23" s="1"/>
  <c r="L24" i="23"/>
  <c r="W22" i="23"/>
  <c r="V22" i="23"/>
  <c r="P22" i="23"/>
  <c r="Q22" i="23" s="1"/>
  <c r="N22" i="23"/>
  <c r="M22" i="23" s="1"/>
  <c r="L22" i="23"/>
  <c r="J21" i="23"/>
  <c r="H20" i="23"/>
  <c r="W17" i="23"/>
  <c r="V17" i="23"/>
  <c r="P17" i="23"/>
  <c r="Q17" i="23" s="1"/>
  <c r="L17" i="23"/>
  <c r="R10" i="52" l="1"/>
  <c r="R18" i="52"/>
  <c r="R20" i="52"/>
  <c r="R33" i="23"/>
  <c r="R40" i="52"/>
  <c r="R14" i="52"/>
  <c r="R35" i="52"/>
  <c r="R27" i="52"/>
  <c r="R6" i="52"/>
  <c r="R33" i="52"/>
  <c r="R25" i="52"/>
  <c r="R21" i="52"/>
  <c r="R9" i="52"/>
  <c r="R31" i="52"/>
  <c r="R23" i="52"/>
  <c r="R12" i="52"/>
  <c r="R37" i="52"/>
  <c r="R29" i="52"/>
  <c r="R5" i="52"/>
  <c r="S22" i="23"/>
  <c r="T22" i="23" s="1"/>
  <c r="R26" i="23"/>
  <c r="Q24" i="23"/>
  <c r="N24" i="23"/>
  <c r="M24" i="23" s="1"/>
  <c r="R22" i="23"/>
  <c r="N17" i="23"/>
  <c r="M17" i="23" s="1"/>
  <c r="S17" i="23"/>
  <c r="T17" i="23" s="1"/>
  <c r="R24" i="23" l="1"/>
  <c r="R17" i="23"/>
  <c r="W9" i="23" l="1"/>
  <c r="V9" i="23"/>
  <c r="P9" i="23"/>
  <c r="S9" i="23" s="1"/>
  <c r="T9" i="23" s="1"/>
  <c r="L9" i="23"/>
  <c r="W7" i="23"/>
  <c r="V7" i="23"/>
  <c r="S7" i="23"/>
  <c r="T7" i="23" s="1"/>
  <c r="Q7" i="23"/>
  <c r="P7" i="23"/>
  <c r="N7" i="23" s="1"/>
  <c r="M7" i="23" s="1"/>
  <c r="L7" i="23"/>
  <c r="L5" i="23"/>
  <c r="P5" i="23"/>
  <c r="N5" i="23" s="1"/>
  <c r="M5" i="23" s="1"/>
  <c r="V5" i="23"/>
  <c r="W5" i="23"/>
  <c r="Q5" i="23" l="1"/>
  <c r="R7" i="23"/>
  <c r="Q9" i="23"/>
  <c r="N9" i="23"/>
  <c r="M9" i="23" s="1"/>
  <c r="R5" i="23"/>
  <c r="S5" i="23"/>
  <c r="T5" i="23" s="1"/>
  <c r="W33" i="51"/>
  <c r="V33" i="51"/>
  <c r="P33" i="51"/>
  <c r="Q33" i="51" s="1"/>
  <c r="L33" i="51"/>
  <c r="I33" i="51"/>
  <c r="W32" i="51"/>
  <c r="V32" i="51"/>
  <c r="P32" i="51"/>
  <c r="Q32" i="51" s="1"/>
  <c r="L32" i="51"/>
  <c r="I32" i="51"/>
  <c r="W31" i="51"/>
  <c r="V31" i="51"/>
  <c r="P31" i="51"/>
  <c r="Q31" i="51" s="1"/>
  <c r="L31" i="51"/>
  <c r="I31" i="51"/>
  <c r="I30" i="51"/>
  <c r="I29" i="51"/>
  <c r="W30" i="51"/>
  <c r="V30" i="51"/>
  <c r="P30" i="51"/>
  <c r="N30" i="51" s="1"/>
  <c r="M30" i="51" s="1"/>
  <c r="L30" i="51"/>
  <c r="I27" i="51"/>
  <c r="L27" i="51"/>
  <c r="P27" i="51"/>
  <c r="Q27" i="51" s="1"/>
  <c r="V27" i="51"/>
  <c r="W27" i="51"/>
  <c r="L28" i="51"/>
  <c r="P28" i="51"/>
  <c r="N28" i="51" s="1"/>
  <c r="M28" i="51" s="1"/>
  <c r="V28" i="51"/>
  <c r="W28" i="51"/>
  <c r="L29" i="51"/>
  <c r="P29" i="51"/>
  <c r="N29" i="51" s="1"/>
  <c r="V29" i="51"/>
  <c r="W29" i="51"/>
  <c r="W24" i="51"/>
  <c r="V24" i="51"/>
  <c r="P24" i="51"/>
  <c r="Q24" i="51" s="1"/>
  <c r="L24" i="51"/>
  <c r="I24" i="51"/>
  <c r="W23" i="51"/>
  <c r="V23" i="51"/>
  <c r="P23" i="51"/>
  <c r="Q23" i="51" s="1"/>
  <c r="L23" i="51"/>
  <c r="I23" i="51"/>
  <c r="W22" i="51"/>
  <c r="V22" i="51"/>
  <c r="P22" i="51"/>
  <c r="N22" i="51" s="1"/>
  <c r="M22" i="51" s="1"/>
  <c r="L22" i="51"/>
  <c r="I22" i="51"/>
  <c r="W16" i="51"/>
  <c r="V16" i="51"/>
  <c r="P16" i="51"/>
  <c r="Q16" i="51" s="1"/>
  <c r="L16" i="51"/>
  <c r="I16" i="51"/>
  <c r="W15" i="51"/>
  <c r="V15" i="51"/>
  <c r="P15" i="51"/>
  <c r="Q15" i="51" s="1"/>
  <c r="L15" i="51"/>
  <c r="I15" i="51"/>
  <c r="W14" i="51"/>
  <c r="V14" i="51"/>
  <c r="P14" i="51"/>
  <c r="Q14" i="51" s="1"/>
  <c r="L14" i="51"/>
  <c r="I14" i="51"/>
  <c r="L13" i="51"/>
  <c r="P13" i="51"/>
  <c r="N13" i="51" s="1"/>
  <c r="M13" i="51" s="1"/>
  <c r="V13" i="51"/>
  <c r="W13" i="51"/>
  <c r="L17" i="51"/>
  <c r="P17" i="51"/>
  <c r="N17" i="51" s="1"/>
  <c r="M17" i="51" s="1"/>
  <c r="V17" i="51"/>
  <c r="W17" i="51"/>
  <c r="P18" i="51"/>
  <c r="L18" i="51"/>
  <c r="V18" i="51"/>
  <c r="W18" i="51"/>
  <c r="L19" i="51"/>
  <c r="P19" i="51"/>
  <c r="Q19" i="51" s="1"/>
  <c r="V19" i="51"/>
  <c r="W19" i="51"/>
  <c r="L20" i="51"/>
  <c r="P20" i="51"/>
  <c r="Q20" i="51" s="1"/>
  <c r="V20" i="51"/>
  <c r="W20" i="51"/>
  <c r="L21" i="51"/>
  <c r="P21" i="51"/>
  <c r="Q21" i="51" s="1"/>
  <c r="V21" i="51"/>
  <c r="W21" i="51"/>
  <c r="L25" i="51"/>
  <c r="P25" i="51"/>
  <c r="Q25" i="51" s="1"/>
  <c r="V25" i="51"/>
  <c r="W25" i="51"/>
  <c r="L26" i="51"/>
  <c r="P26" i="51"/>
  <c r="Q26" i="51" s="1"/>
  <c r="V26" i="51"/>
  <c r="W26" i="51"/>
  <c r="W12" i="51"/>
  <c r="V12" i="51"/>
  <c r="P12" i="51"/>
  <c r="Q12" i="51" s="1"/>
  <c r="L12" i="51"/>
  <c r="W10" i="51"/>
  <c r="V10" i="51"/>
  <c r="L10" i="51"/>
  <c r="P10" i="51"/>
  <c r="Q10" i="51" s="1"/>
  <c r="W9" i="51"/>
  <c r="V9" i="51"/>
  <c r="P9" i="51"/>
  <c r="Q9" i="51" s="1"/>
  <c r="L9" i="51"/>
  <c r="W8" i="51"/>
  <c r="V8" i="51"/>
  <c r="P8" i="51"/>
  <c r="Q8" i="51" s="1"/>
  <c r="L8" i="51"/>
  <c r="W7" i="51"/>
  <c r="V7" i="51"/>
  <c r="P7" i="51"/>
  <c r="N7" i="51" s="1"/>
  <c r="M7" i="51" s="1"/>
  <c r="L7" i="51"/>
  <c r="W6" i="51"/>
  <c r="V6" i="51"/>
  <c r="P6" i="51"/>
  <c r="Q6" i="51" s="1"/>
  <c r="L6" i="51"/>
  <c r="I6" i="51"/>
  <c r="W5" i="51"/>
  <c r="V5" i="51"/>
  <c r="P5" i="51"/>
  <c r="N5" i="51" s="1"/>
  <c r="M5" i="51" s="1"/>
  <c r="L5" i="51"/>
  <c r="I5" i="51"/>
  <c r="W4" i="51"/>
  <c r="V4" i="51"/>
  <c r="P4" i="51"/>
  <c r="Q4" i="51" s="1"/>
  <c r="L4" i="51"/>
  <c r="W3" i="51"/>
  <c r="V3" i="51"/>
  <c r="L3" i="51"/>
  <c r="P3" i="51"/>
  <c r="S23" i="51" l="1"/>
  <c r="T23" i="51" s="1"/>
  <c r="N23" i="51"/>
  <c r="M23" i="51" s="1"/>
  <c r="S32" i="51"/>
  <c r="T32" i="51" s="1"/>
  <c r="Q30" i="51"/>
  <c r="R30" i="51" s="1"/>
  <c r="S26" i="51"/>
  <c r="T26" i="51" s="1"/>
  <c r="S25" i="51"/>
  <c r="T25" i="51" s="1"/>
  <c r="S30" i="51"/>
  <c r="T30" i="51" s="1"/>
  <c r="S14" i="51"/>
  <c r="T14" i="51" s="1"/>
  <c r="R9" i="23"/>
  <c r="S28" i="51"/>
  <c r="T28" i="51" s="1"/>
  <c r="S20" i="51"/>
  <c r="T20" i="51" s="1"/>
  <c r="S16" i="51"/>
  <c r="T16" i="51" s="1"/>
  <c r="N32" i="51"/>
  <c r="M32" i="51" s="1"/>
  <c r="S27" i="51"/>
  <c r="T27" i="51" s="1"/>
  <c r="S31" i="51"/>
  <c r="T31" i="51" s="1"/>
  <c r="S33" i="51"/>
  <c r="T33" i="51" s="1"/>
  <c r="Q28" i="51"/>
  <c r="R28" i="51" s="1"/>
  <c r="N33" i="51"/>
  <c r="M33" i="51" s="1"/>
  <c r="N31" i="51"/>
  <c r="M31" i="51" s="1"/>
  <c r="S29" i="51"/>
  <c r="T29" i="51" s="1"/>
  <c r="Q29" i="51"/>
  <c r="R29" i="51" s="1"/>
  <c r="M29" i="51"/>
  <c r="N27" i="51"/>
  <c r="M27" i="51" s="1"/>
  <c r="N19" i="51"/>
  <c r="M19" i="51" s="1"/>
  <c r="S22" i="51"/>
  <c r="T22" i="51" s="1"/>
  <c r="R23" i="51"/>
  <c r="S24" i="51"/>
  <c r="T24" i="51" s="1"/>
  <c r="R19" i="51"/>
  <c r="S15" i="51"/>
  <c r="T15" i="51" s="1"/>
  <c r="S21" i="51"/>
  <c r="T21" i="51" s="1"/>
  <c r="S19" i="51"/>
  <c r="T19" i="51" s="1"/>
  <c r="N15" i="51"/>
  <c r="M15" i="51" s="1"/>
  <c r="N25" i="51"/>
  <c r="M25" i="51" s="1"/>
  <c r="N24" i="51"/>
  <c r="M24" i="51" s="1"/>
  <c r="Q22" i="51"/>
  <c r="R22" i="51" s="1"/>
  <c r="S17" i="51"/>
  <c r="T17" i="51" s="1"/>
  <c r="Q17" i="51"/>
  <c r="R17" i="51" s="1"/>
  <c r="N16" i="51"/>
  <c r="M16" i="51" s="1"/>
  <c r="N14" i="51"/>
  <c r="M14" i="51" s="1"/>
  <c r="Q13" i="51"/>
  <c r="R13" i="51" s="1"/>
  <c r="S13" i="51"/>
  <c r="T13" i="51" s="1"/>
  <c r="N18" i="51"/>
  <c r="M18" i="51" s="1"/>
  <c r="S18" i="51"/>
  <c r="T18" i="51" s="1"/>
  <c r="Q18" i="51"/>
  <c r="N26" i="51"/>
  <c r="M26" i="51" s="1"/>
  <c r="N21" i="51"/>
  <c r="M21" i="51" s="1"/>
  <c r="N20" i="51"/>
  <c r="M20" i="51" s="1"/>
  <c r="S12" i="51"/>
  <c r="T12" i="51" s="1"/>
  <c r="N4" i="51"/>
  <c r="M4" i="51" s="1"/>
  <c r="S8" i="51"/>
  <c r="T8" i="51" s="1"/>
  <c r="S4" i="51"/>
  <c r="T4" i="51" s="1"/>
  <c r="S6" i="51"/>
  <c r="T6" i="51" s="1"/>
  <c r="N8" i="51"/>
  <c r="M8" i="51" s="1"/>
  <c r="S5" i="51"/>
  <c r="T5" i="51" s="1"/>
  <c r="N12" i="51"/>
  <c r="M12" i="51" s="1"/>
  <c r="S7" i="51"/>
  <c r="T7" i="51" s="1"/>
  <c r="N6" i="51"/>
  <c r="M6" i="51" s="1"/>
  <c r="S9" i="51"/>
  <c r="T9" i="51" s="1"/>
  <c r="S10" i="51"/>
  <c r="T10" i="51" s="1"/>
  <c r="N3" i="51"/>
  <c r="M3" i="51" s="1"/>
  <c r="S3" i="51"/>
  <c r="T3" i="51" s="1"/>
  <c r="Q3" i="51"/>
  <c r="Q5" i="51"/>
  <c r="R5" i="51" s="1"/>
  <c r="Q7" i="51"/>
  <c r="R7" i="51" s="1"/>
  <c r="N9" i="51"/>
  <c r="M9" i="51" s="1"/>
  <c r="N10" i="51"/>
  <c r="M10" i="51" s="1"/>
  <c r="I22" i="50"/>
  <c r="I21" i="50"/>
  <c r="H14" i="50"/>
  <c r="L13" i="50"/>
  <c r="P13" i="50"/>
  <c r="Q13" i="50" s="1"/>
  <c r="V13" i="50"/>
  <c r="W13" i="50"/>
  <c r="L12" i="50"/>
  <c r="P12" i="50"/>
  <c r="N12" i="50" s="1"/>
  <c r="M12" i="50" s="1"/>
  <c r="V12" i="50"/>
  <c r="W12" i="50"/>
  <c r="L9" i="50"/>
  <c r="P9" i="50"/>
  <c r="N9" i="50" s="1"/>
  <c r="M9" i="50" s="1"/>
  <c r="V9" i="50"/>
  <c r="W9" i="50"/>
  <c r="L17" i="25"/>
  <c r="P17" i="25"/>
  <c r="S17" i="25" s="1"/>
  <c r="T17" i="25" s="1"/>
  <c r="V17" i="25"/>
  <c r="W17" i="25"/>
  <c r="L10" i="25"/>
  <c r="P10" i="25"/>
  <c r="S10" i="25" s="1"/>
  <c r="T10" i="25" s="1"/>
  <c r="Q10" i="25"/>
  <c r="V10" i="25"/>
  <c r="W10" i="25"/>
  <c r="H9" i="25"/>
  <c r="R32" i="51" l="1"/>
  <c r="Q9" i="50"/>
  <c r="S13" i="50"/>
  <c r="T13" i="50" s="1"/>
  <c r="R4" i="51"/>
  <c r="R33" i="51"/>
  <c r="R31" i="51"/>
  <c r="R27" i="51"/>
  <c r="R16" i="51"/>
  <c r="R15" i="51"/>
  <c r="R25" i="51"/>
  <c r="R24" i="51"/>
  <c r="R21" i="51"/>
  <c r="R18" i="51"/>
  <c r="R14" i="51"/>
  <c r="R20" i="51"/>
  <c r="R26" i="51"/>
  <c r="R8" i="51"/>
  <c r="R12" i="51"/>
  <c r="R6" i="51"/>
  <c r="R9" i="51"/>
  <c r="R3" i="51"/>
  <c r="R10" i="51"/>
  <c r="N13" i="50"/>
  <c r="M13" i="50" s="1"/>
  <c r="Q12" i="50"/>
  <c r="R12" i="50" s="1"/>
  <c r="S12" i="50"/>
  <c r="T12" i="50" s="1"/>
  <c r="S9" i="50"/>
  <c r="T9" i="50" s="1"/>
  <c r="R9" i="50"/>
  <c r="Q17" i="25"/>
  <c r="N17" i="25"/>
  <c r="M17" i="25" s="1"/>
  <c r="N10" i="25"/>
  <c r="M10" i="25" s="1"/>
  <c r="W11" i="42"/>
  <c r="V11" i="42"/>
  <c r="P11" i="42"/>
  <c r="Q11" i="42" s="1"/>
  <c r="L11" i="42"/>
  <c r="L10" i="42"/>
  <c r="P10" i="42"/>
  <c r="N10" i="42" s="1"/>
  <c r="V10" i="42"/>
  <c r="W10" i="42"/>
  <c r="F25" i="42"/>
  <c r="L2" i="30"/>
  <c r="P2" i="30"/>
  <c r="Q2" i="30" s="1"/>
  <c r="S2" i="30"/>
  <c r="T2" i="30" s="1"/>
  <c r="V2" i="30"/>
  <c r="W2" i="30"/>
  <c r="L3" i="30"/>
  <c r="P3" i="30"/>
  <c r="N3" i="30" s="1"/>
  <c r="M3" i="30" s="1"/>
  <c r="V3" i="30"/>
  <c r="W3" i="30"/>
  <c r="L4" i="30"/>
  <c r="P4" i="30"/>
  <c r="N4" i="30" s="1"/>
  <c r="V4" i="30"/>
  <c r="W4" i="30"/>
  <c r="L6" i="30"/>
  <c r="P6" i="30"/>
  <c r="N6" i="30" s="1"/>
  <c r="M6" i="30" s="1"/>
  <c r="V6" i="30"/>
  <c r="W6" i="30"/>
  <c r="L11" i="30"/>
  <c r="P11" i="30"/>
  <c r="N11" i="30" s="1"/>
  <c r="M11" i="30" s="1"/>
  <c r="V11" i="30"/>
  <c r="W11" i="30"/>
  <c r="L12" i="30"/>
  <c r="P12" i="30"/>
  <c r="Q12" i="30" s="1"/>
  <c r="V12" i="30"/>
  <c r="W12" i="30"/>
  <c r="L13" i="30"/>
  <c r="P13" i="30"/>
  <c r="Q13" i="30" s="1"/>
  <c r="V13" i="30"/>
  <c r="W13" i="30"/>
  <c r="I21" i="30"/>
  <c r="L21" i="30"/>
  <c r="P21" i="30"/>
  <c r="Q21" i="30" s="1"/>
  <c r="V21" i="30"/>
  <c r="W21" i="30"/>
  <c r="I22" i="30"/>
  <c r="L22" i="30"/>
  <c r="P22" i="30"/>
  <c r="N22" i="30" s="1"/>
  <c r="M22" i="30" s="1"/>
  <c r="V22" i="30"/>
  <c r="W22" i="30"/>
  <c r="I23" i="30"/>
  <c r="L23" i="30"/>
  <c r="P23" i="30"/>
  <c r="N23" i="30" s="1"/>
  <c r="M23" i="30" s="1"/>
  <c r="V23" i="30"/>
  <c r="W23" i="30"/>
  <c r="L24" i="30"/>
  <c r="P24" i="30"/>
  <c r="Q24" i="30" s="1"/>
  <c r="V24" i="30"/>
  <c r="W24" i="30"/>
  <c r="L33" i="30"/>
  <c r="P33" i="30"/>
  <c r="N33" i="30" s="1"/>
  <c r="M33" i="30" s="1"/>
  <c r="V33" i="30"/>
  <c r="W33" i="30"/>
  <c r="L34" i="30"/>
  <c r="P34" i="30"/>
  <c r="N34" i="30" s="1"/>
  <c r="M34" i="30" s="1"/>
  <c r="V34" i="30"/>
  <c r="W34" i="30"/>
  <c r="L35" i="30"/>
  <c r="P35" i="30"/>
  <c r="N35" i="30" s="1"/>
  <c r="V35" i="30"/>
  <c r="W35" i="30"/>
  <c r="L36" i="30"/>
  <c r="P36" i="30"/>
  <c r="Q36" i="30" s="1"/>
  <c r="V36" i="30"/>
  <c r="W36" i="30"/>
  <c r="N12" i="30" l="1"/>
  <c r="M12" i="30" s="1"/>
  <c r="N2" i="30"/>
  <c r="M2" i="30" s="1"/>
  <c r="S12" i="30"/>
  <c r="T12" i="30" s="1"/>
  <c r="S21" i="30"/>
  <c r="T21" i="30" s="1"/>
  <c r="S13" i="30"/>
  <c r="T13" i="30" s="1"/>
  <c r="Q23" i="30"/>
  <c r="R23" i="30" s="1"/>
  <c r="S22" i="30"/>
  <c r="T22" i="30" s="1"/>
  <c r="Q35" i="30"/>
  <c r="R35" i="30" s="1"/>
  <c r="S34" i="30"/>
  <c r="T34" i="30" s="1"/>
  <c r="S23" i="30"/>
  <c r="T23" i="30" s="1"/>
  <c r="N13" i="30"/>
  <c r="M13" i="30" s="1"/>
  <c r="Q11" i="30"/>
  <c r="R11" i="30" s="1"/>
  <c r="S35" i="30"/>
  <c r="T35" i="30" s="1"/>
  <c r="S24" i="30"/>
  <c r="T24" i="30" s="1"/>
  <c r="S11" i="30"/>
  <c r="T11" i="30" s="1"/>
  <c r="Q3" i="30"/>
  <c r="R3" i="30" s="1"/>
  <c r="N24" i="30"/>
  <c r="M24" i="30" s="1"/>
  <c r="Q34" i="30"/>
  <c r="R34" i="30" s="1"/>
  <c r="S33" i="30"/>
  <c r="T33" i="30" s="1"/>
  <c r="N21" i="30"/>
  <c r="M21" i="30" s="1"/>
  <c r="S6" i="30"/>
  <c r="T6" i="30" s="1"/>
  <c r="Q6" i="30"/>
  <c r="R6" i="30" s="1"/>
  <c r="R12" i="30"/>
  <c r="S4" i="30"/>
  <c r="T4" i="30" s="1"/>
  <c r="Q4" i="30"/>
  <c r="R4" i="30" s="1"/>
  <c r="R13" i="50"/>
  <c r="R17" i="25"/>
  <c r="R10" i="25"/>
  <c r="N11" i="42"/>
  <c r="M11" i="42" s="1"/>
  <c r="S11" i="42"/>
  <c r="T11" i="42" s="1"/>
  <c r="Q10" i="42"/>
  <c r="R10" i="42" s="1"/>
  <c r="S10" i="42"/>
  <c r="T10" i="42" s="1"/>
  <c r="M10" i="42"/>
  <c r="M35" i="30"/>
  <c r="M4" i="30"/>
  <c r="S36" i="30"/>
  <c r="T36" i="30" s="1"/>
  <c r="N36" i="30"/>
  <c r="M36" i="30" s="1"/>
  <c r="Q33" i="30"/>
  <c r="R33" i="30" s="1"/>
  <c r="Q22" i="30"/>
  <c r="R22" i="30" s="1"/>
  <c r="S3" i="30"/>
  <c r="T3" i="30" s="1"/>
  <c r="I23" i="49"/>
  <c r="L23" i="49"/>
  <c r="P23" i="49"/>
  <c r="N23" i="49" s="1"/>
  <c r="M23" i="49" s="1"/>
  <c r="Q23" i="49"/>
  <c r="V23" i="49"/>
  <c r="W23" i="49"/>
  <c r="I21" i="49"/>
  <c r="S21" i="49" s="1"/>
  <c r="T21" i="49" s="1"/>
  <c r="L21" i="49"/>
  <c r="P21" i="49"/>
  <c r="N21" i="49" s="1"/>
  <c r="M21" i="49" s="1"/>
  <c r="Q21" i="49"/>
  <c r="V21" i="49"/>
  <c r="W21" i="49"/>
  <c r="L22" i="49"/>
  <c r="P22" i="49"/>
  <c r="N22" i="49" s="1"/>
  <c r="M22" i="49" s="1"/>
  <c r="V22" i="49"/>
  <c r="W22" i="49"/>
  <c r="I20" i="49"/>
  <c r="L20" i="49"/>
  <c r="P20" i="49"/>
  <c r="N20" i="49" s="1"/>
  <c r="M20" i="49" s="1"/>
  <c r="V20" i="49"/>
  <c r="W20" i="49"/>
  <c r="I19" i="49"/>
  <c r="I3" i="49"/>
  <c r="R21" i="30" l="1"/>
  <c r="R2" i="30"/>
  <c r="R13" i="30"/>
  <c r="R24" i="30"/>
  <c r="R21" i="49"/>
  <c r="S23" i="49"/>
  <c r="T23" i="49" s="1"/>
  <c r="R11" i="42"/>
  <c r="R36" i="30"/>
  <c r="R23" i="49"/>
  <c r="S22" i="49"/>
  <c r="T22" i="49" s="1"/>
  <c r="Q22" i="49"/>
  <c r="R22" i="49" s="1"/>
  <c r="S20" i="49"/>
  <c r="T20" i="49" s="1"/>
  <c r="Q20" i="49"/>
  <c r="R20" i="49" s="1"/>
  <c r="I17" i="48"/>
  <c r="I16" i="48"/>
  <c r="I15" i="48"/>
  <c r="I14" i="48"/>
  <c r="I13" i="48"/>
  <c r="I12" i="48"/>
  <c r="I11" i="48"/>
  <c r="I10" i="48"/>
  <c r="I9" i="48"/>
  <c r="I8" i="48"/>
  <c r="I7" i="48"/>
  <c r="I5" i="48"/>
  <c r="I4" i="48"/>
  <c r="I3" i="48"/>
  <c r="I22" i="46" l="1"/>
  <c r="I20" i="46"/>
  <c r="I2" i="46"/>
  <c r="L20" i="45" l="1"/>
  <c r="P20" i="45"/>
  <c r="Q20" i="45" s="1"/>
  <c r="V20" i="45"/>
  <c r="W20" i="45"/>
  <c r="L21" i="45"/>
  <c r="P21" i="45"/>
  <c r="Q21" i="45" s="1"/>
  <c r="V21" i="45"/>
  <c r="W21" i="45"/>
  <c r="L22" i="45"/>
  <c r="P22" i="45"/>
  <c r="Q22" i="45" s="1"/>
  <c r="V22" i="45"/>
  <c r="W22" i="45"/>
  <c r="I2" i="45"/>
  <c r="N21" i="45" l="1"/>
  <c r="M21" i="45" s="1"/>
  <c r="S20" i="45"/>
  <c r="T20" i="45" s="1"/>
  <c r="S22" i="45"/>
  <c r="T22" i="45" s="1"/>
  <c r="S21" i="45"/>
  <c r="T21" i="45" s="1"/>
  <c r="N22" i="45"/>
  <c r="M22" i="45" s="1"/>
  <c r="N20" i="45"/>
  <c r="M20" i="45" s="1"/>
  <c r="L3" i="38"/>
  <c r="P3" i="38"/>
  <c r="V3" i="38"/>
  <c r="W3" i="38"/>
  <c r="L5" i="37"/>
  <c r="N5" i="37"/>
  <c r="M5" i="37" s="1"/>
  <c r="P5" i="37"/>
  <c r="S5" i="37" s="1"/>
  <c r="T5" i="37" s="1"/>
  <c r="V5" i="37"/>
  <c r="W5" i="37"/>
  <c r="L6" i="37"/>
  <c r="P6" i="37"/>
  <c r="V6" i="37"/>
  <c r="W6" i="37"/>
  <c r="I2" i="36"/>
  <c r="R21" i="45" l="1"/>
  <c r="R22" i="45"/>
  <c r="R20" i="45"/>
  <c r="S3" i="38"/>
  <c r="T3" i="38" s="1"/>
  <c r="N3" i="38"/>
  <c r="M3" i="38" s="1"/>
  <c r="S6" i="37"/>
  <c r="T6" i="37" s="1"/>
  <c r="N6" i="37"/>
  <c r="M6" i="37" s="1"/>
  <c r="L4" i="33"/>
  <c r="P4" i="33"/>
  <c r="S4" i="33" s="1"/>
  <c r="T4" i="33" s="1"/>
  <c r="V4" i="33"/>
  <c r="W4" i="33"/>
  <c r="N4" i="33" l="1"/>
  <c r="M4" i="33" s="1"/>
  <c r="I34" i="40"/>
  <c r="I31" i="40"/>
  <c r="I14" i="40"/>
  <c r="I2" i="39"/>
  <c r="L6" i="39"/>
  <c r="P6" i="39"/>
  <c r="N6" i="39" s="1"/>
  <c r="M6" i="39" s="1"/>
  <c r="V6" i="39"/>
  <c r="W6" i="39"/>
  <c r="L7" i="39"/>
  <c r="P7" i="39"/>
  <c r="N7" i="39" s="1"/>
  <c r="M7" i="39" s="1"/>
  <c r="V7" i="39"/>
  <c r="W7" i="39"/>
  <c r="L8" i="39"/>
  <c r="P8" i="39"/>
  <c r="V8" i="39"/>
  <c r="W8" i="39"/>
  <c r="L9" i="39"/>
  <c r="P9" i="39"/>
  <c r="N9" i="39" s="1"/>
  <c r="M9" i="39" s="1"/>
  <c r="V9" i="39"/>
  <c r="W9" i="39"/>
  <c r="L10" i="39"/>
  <c r="V10" i="39"/>
  <c r="W10" i="39"/>
  <c r="L11" i="39"/>
  <c r="P11" i="39"/>
  <c r="N11" i="39" s="1"/>
  <c r="M11" i="39" s="1"/>
  <c r="V11" i="39"/>
  <c r="W11" i="39"/>
  <c r="L14" i="39"/>
  <c r="P14" i="39"/>
  <c r="N14" i="39" s="1"/>
  <c r="M14" i="39" s="1"/>
  <c r="V14" i="39"/>
  <c r="W14" i="39"/>
  <c r="L15" i="39"/>
  <c r="P15" i="39"/>
  <c r="N15" i="39" s="1"/>
  <c r="M15" i="39" s="1"/>
  <c r="V15" i="39"/>
  <c r="W15" i="39"/>
  <c r="L18" i="39"/>
  <c r="P18" i="39"/>
  <c r="V18" i="39"/>
  <c r="W18" i="39"/>
  <c r="L19" i="39"/>
  <c r="P19" i="39"/>
  <c r="N19" i="39" s="1"/>
  <c r="M19" i="39" s="1"/>
  <c r="V19" i="39"/>
  <c r="W19" i="39"/>
  <c r="L20" i="39"/>
  <c r="P20" i="39"/>
  <c r="V20" i="39"/>
  <c r="W20" i="39"/>
  <c r="L21" i="39"/>
  <c r="P21" i="39"/>
  <c r="N21" i="39" s="1"/>
  <c r="M21" i="39" s="1"/>
  <c r="V21" i="39"/>
  <c r="W21" i="39"/>
  <c r="L22" i="39"/>
  <c r="V22" i="39"/>
  <c r="W22" i="39"/>
  <c r="L23" i="39"/>
  <c r="P23" i="39"/>
  <c r="N23" i="39" s="1"/>
  <c r="M23" i="39" s="1"/>
  <c r="V23" i="39"/>
  <c r="W23" i="39"/>
  <c r="L24" i="39"/>
  <c r="P24" i="39"/>
  <c r="V24" i="39"/>
  <c r="W24" i="39"/>
  <c r="L25" i="39"/>
  <c r="P25" i="39"/>
  <c r="N25" i="39" s="1"/>
  <c r="M25" i="39" s="1"/>
  <c r="V25" i="39"/>
  <c r="W25" i="39"/>
  <c r="L26" i="39"/>
  <c r="V26" i="39"/>
  <c r="W26" i="39"/>
  <c r="L27" i="39"/>
  <c r="P27" i="39"/>
  <c r="N27" i="39" s="1"/>
  <c r="M27" i="39" s="1"/>
  <c r="V27" i="39"/>
  <c r="W27" i="39"/>
  <c r="L28" i="39"/>
  <c r="P28" i="39"/>
  <c r="V28" i="39"/>
  <c r="W28" i="39"/>
  <c r="L29" i="39"/>
  <c r="P29" i="39"/>
  <c r="N29" i="39" s="1"/>
  <c r="M29" i="39" s="1"/>
  <c r="V29" i="39"/>
  <c r="W29" i="39"/>
  <c r="L30" i="39"/>
  <c r="P30" i="39"/>
  <c r="V30" i="39"/>
  <c r="W30" i="39"/>
  <c r="L31" i="39"/>
  <c r="P31" i="39"/>
  <c r="N31" i="39" s="1"/>
  <c r="M31" i="39" s="1"/>
  <c r="V31" i="39"/>
  <c r="W31" i="39"/>
  <c r="L32" i="39"/>
  <c r="P32" i="39"/>
  <c r="V32" i="39"/>
  <c r="W32" i="39"/>
  <c r="L33" i="39"/>
  <c r="P33" i="39"/>
  <c r="V33" i="39"/>
  <c r="W33" i="39"/>
  <c r="L36" i="39"/>
  <c r="P36" i="39"/>
  <c r="V36" i="39"/>
  <c r="W36" i="39"/>
  <c r="L37" i="39"/>
  <c r="P37" i="39"/>
  <c r="N37" i="39" s="1"/>
  <c r="M37" i="39" s="1"/>
  <c r="V37" i="39"/>
  <c r="W37" i="39"/>
  <c r="L38" i="39"/>
  <c r="P38" i="39"/>
  <c r="S38" i="39" s="1"/>
  <c r="T38" i="39" s="1"/>
  <c r="V38" i="39"/>
  <c r="W38" i="39"/>
  <c r="L39" i="39"/>
  <c r="P39" i="39"/>
  <c r="N39" i="39" s="1"/>
  <c r="M39" i="39" s="1"/>
  <c r="V39" i="39"/>
  <c r="W39" i="39"/>
  <c r="L40" i="39"/>
  <c r="P40" i="39"/>
  <c r="S40" i="39" s="1"/>
  <c r="T40" i="39" s="1"/>
  <c r="V40" i="39"/>
  <c r="W40" i="39"/>
  <c r="L41" i="39"/>
  <c r="P41" i="39"/>
  <c r="V41" i="39"/>
  <c r="W41" i="39"/>
  <c r="L42" i="39"/>
  <c r="P42" i="39"/>
  <c r="V42" i="39"/>
  <c r="W42" i="39"/>
  <c r="L43" i="39"/>
  <c r="P43" i="39"/>
  <c r="N43" i="39" s="1"/>
  <c r="M43" i="39" s="1"/>
  <c r="V43" i="39"/>
  <c r="W43" i="39"/>
  <c r="L44" i="39"/>
  <c r="P44" i="39"/>
  <c r="N44" i="39" s="1"/>
  <c r="M44" i="39" s="1"/>
  <c r="V44" i="39"/>
  <c r="W44" i="39"/>
  <c r="I11" i="39"/>
  <c r="F11" i="39"/>
  <c r="P10" i="39"/>
  <c r="L3" i="29"/>
  <c r="P3" i="29"/>
  <c r="N3" i="29" s="1"/>
  <c r="M3" i="29" s="1"/>
  <c r="V3" i="29"/>
  <c r="W3" i="29"/>
  <c r="L4" i="29"/>
  <c r="P4" i="29"/>
  <c r="S4" i="29" s="1"/>
  <c r="T4" i="29" s="1"/>
  <c r="V4" i="29"/>
  <c r="W4" i="29"/>
  <c r="L5" i="29"/>
  <c r="P5" i="29"/>
  <c r="N5" i="29" s="1"/>
  <c r="M5" i="29" s="1"/>
  <c r="V5" i="29"/>
  <c r="W5" i="29"/>
  <c r="L6" i="29"/>
  <c r="P6" i="29"/>
  <c r="S6" i="29" s="1"/>
  <c r="T6" i="29" s="1"/>
  <c r="V6" i="29"/>
  <c r="W6" i="29"/>
  <c r="L7" i="29"/>
  <c r="P7" i="29"/>
  <c r="V7" i="29"/>
  <c r="W7" i="29"/>
  <c r="L8" i="29"/>
  <c r="P8" i="29"/>
  <c r="S8" i="29" s="1"/>
  <c r="T8" i="29" s="1"/>
  <c r="V8" i="29"/>
  <c r="W8" i="29"/>
  <c r="L9" i="29"/>
  <c r="P9" i="29"/>
  <c r="S9" i="29" s="1"/>
  <c r="T9" i="29" s="1"/>
  <c r="V9" i="29"/>
  <c r="W9" i="29"/>
  <c r="L10" i="29"/>
  <c r="P10" i="29"/>
  <c r="V10" i="29"/>
  <c r="W10" i="29"/>
  <c r="L11" i="29"/>
  <c r="P11" i="29"/>
  <c r="S11" i="29" s="1"/>
  <c r="T11" i="29" s="1"/>
  <c r="V11" i="29"/>
  <c r="W11" i="29"/>
  <c r="L12" i="29"/>
  <c r="P12" i="29"/>
  <c r="N12" i="29" s="1"/>
  <c r="M12" i="29" s="1"/>
  <c r="V12" i="29"/>
  <c r="W12" i="29"/>
  <c r="L14" i="29"/>
  <c r="P14" i="29"/>
  <c r="V14" i="29"/>
  <c r="W14" i="29"/>
  <c r="L16" i="29"/>
  <c r="V16" i="29"/>
  <c r="W16" i="29"/>
  <c r="L18" i="29"/>
  <c r="P18" i="29"/>
  <c r="N18" i="29" s="1"/>
  <c r="M18" i="29" s="1"/>
  <c r="V18" i="29"/>
  <c r="W18" i="29"/>
  <c r="L19" i="29"/>
  <c r="P19" i="29"/>
  <c r="S19" i="29" s="1"/>
  <c r="T19" i="29" s="1"/>
  <c r="V19" i="29"/>
  <c r="W19" i="29"/>
  <c r="L20" i="29"/>
  <c r="P20" i="29"/>
  <c r="V20" i="29"/>
  <c r="W20" i="29"/>
  <c r="L21" i="29"/>
  <c r="P21" i="29"/>
  <c r="N21" i="29" s="1"/>
  <c r="M21" i="29" s="1"/>
  <c r="V21" i="29"/>
  <c r="W21" i="29"/>
  <c r="L22" i="29"/>
  <c r="V22" i="29"/>
  <c r="W22" i="29"/>
  <c r="L23" i="29"/>
  <c r="P23" i="29"/>
  <c r="S23" i="29" s="1"/>
  <c r="T23" i="29" s="1"/>
  <c r="V23" i="29"/>
  <c r="W23" i="29"/>
  <c r="L24" i="29"/>
  <c r="P24" i="29"/>
  <c r="V24" i="29"/>
  <c r="W24" i="29"/>
  <c r="L25" i="29"/>
  <c r="P25" i="29"/>
  <c r="N25" i="29" s="1"/>
  <c r="M25" i="29" s="1"/>
  <c r="V25" i="29"/>
  <c r="W25" i="29"/>
  <c r="L26" i="29"/>
  <c r="V26" i="29"/>
  <c r="W26" i="29"/>
  <c r="L27" i="29"/>
  <c r="P27" i="29"/>
  <c r="S27" i="29" s="1"/>
  <c r="T27" i="29" s="1"/>
  <c r="V27" i="29"/>
  <c r="W27" i="29"/>
  <c r="L28" i="29"/>
  <c r="P28" i="29"/>
  <c r="S28" i="29" s="1"/>
  <c r="T28" i="29" s="1"/>
  <c r="V28" i="29"/>
  <c r="W28" i="29"/>
  <c r="L29" i="29"/>
  <c r="P29" i="29"/>
  <c r="S29" i="29" s="1"/>
  <c r="T29" i="29" s="1"/>
  <c r="V29" i="29"/>
  <c r="W29" i="29"/>
  <c r="L30" i="29"/>
  <c r="P30" i="29"/>
  <c r="S30" i="29" s="1"/>
  <c r="T30" i="29" s="1"/>
  <c r="V30" i="29"/>
  <c r="W30" i="29"/>
  <c r="L31" i="29"/>
  <c r="P31" i="29"/>
  <c r="S31" i="29" s="1"/>
  <c r="T31" i="29" s="1"/>
  <c r="V31" i="29"/>
  <c r="W31" i="29"/>
  <c r="L32" i="29"/>
  <c r="P32" i="29"/>
  <c r="V32" i="29"/>
  <c r="W32" i="29"/>
  <c r="L33" i="29"/>
  <c r="P33" i="29"/>
  <c r="S33" i="29" s="1"/>
  <c r="T33" i="29" s="1"/>
  <c r="V33" i="29"/>
  <c r="W33" i="29"/>
  <c r="L34" i="29"/>
  <c r="V34" i="29"/>
  <c r="W34" i="29"/>
  <c r="L36" i="29"/>
  <c r="P36" i="29"/>
  <c r="V36" i="29"/>
  <c r="W36" i="29"/>
  <c r="L38" i="29"/>
  <c r="P38" i="29"/>
  <c r="N38" i="29" s="1"/>
  <c r="M38" i="29" s="1"/>
  <c r="V38" i="29"/>
  <c r="W38" i="29"/>
  <c r="L39" i="29"/>
  <c r="P39" i="29"/>
  <c r="S39" i="29" s="1"/>
  <c r="T39" i="29" s="1"/>
  <c r="V39" i="29"/>
  <c r="W39" i="29"/>
  <c r="L40" i="29"/>
  <c r="P40" i="29"/>
  <c r="N40" i="29" s="1"/>
  <c r="M40" i="29" s="1"/>
  <c r="V40" i="29"/>
  <c r="W40" i="29"/>
  <c r="L41" i="29"/>
  <c r="P41" i="29"/>
  <c r="V41" i="29"/>
  <c r="W41" i="29"/>
  <c r="L42" i="29"/>
  <c r="P42" i="29"/>
  <c r="N42" i="29" s="1"/>
  <c r="M42" i="29" s="1"/>
  <c r="V42" i="29"/>
  <c r="W42" i="29"/>
  <c r="L43" i="29"/>
  <c r="P43" i="29"/>
  <c r="S43" i="29" s="1"/>
  <c r="T43" i="29" s="1"/>
  <c r="V43" i="29"/>
  <c r="W43" i="29"/>
  <c r="L44" i="29"/>
  <c r="P44" i="29"/>
  <c r="S44" i="29" s="1"/>
  <c r="T44" i="29" s="1"/>
  <c r="V44" i="29"/>
  <c r="W44" i="29"/>
  <c r="L45" i="29"/>
  <c r="P45" i="29"/>
  <c r="V45" i="29"/>
  <c r="W45" i="29"/>
  <c r="L46" i="29"/>
  <c r="P46" i="29"/>
  <c r="V46" i="29"/>
  <c r="W46" i="29"/>
  <c r="L47" i="29"/>
  <c r="P47" i="29"/>
  <c r="N47" i="29" s="1"/>
  <c r="M47" i="29" s="1"/>
  <c r="V47" i="29"/>
  <c r="W47" i="29"/>
  <c r="H34" i="29"/>
  <c r="P34" i="29" s="1"/>
  <c r="P16" i="29"/>
  <c r="S16" i="29" s="1"/>
  <c r="T16" i="29" s="1"/>
  <c r="N29" i="29" l="1"/>
  <c r="M29" i="29" s="1"/>
  <c r="N27" i="29"/>
  <c r="M27" i="29" s="1"/>
  <c r="N31" i="29"/>
  <c r="M31" i="29" s="1"/>
  <c r="N44" i="29"/>
  <c r="M44" i="29" s="1"/>
  <c r="N34" i="29"/>
  <c r="M34" i="29" s="1"/>
  <c r="S34" i="29"/>
  <c r="T34" i="29" s="1"/>
  <c r="S42" i="29"/>
  <c r="T42" i="29" s="1"/>
  <c r="S40" i="29"/>
  <c r="T40" i="29" s="1"/>
  <c r="S21" i="29"/>
  <c r="T21" i="29" s="1"/>
  <c r="N46" i="29"/>
  <c r="M46" i="29" s="1"/>
  <c r="S45" i="29"/>
  <c r="T45" i="29" s="1"/>
  <c r="N33" i="29"/>
  <c r="M33" i="29" s="1"/>
  <c r="N23" i="29"/>
  <c r="M23" i="29" s="1"/>
  <c r="N19" i="29"/>
  <c r="M19" i="29" s="1"/>
  <c r="N11" i="29"/>
  <c r="M11" i="29" s="1"/>
  <c r="N7" i="29"/>
  <c r="M7" i="29" s="1"/>
  <c r="S12" i="29"/>
  <c r="T12" i="29" s="1"/>
  <c r="S41" i="29"/>
  <c r="T41" i="29" s="1"/>
  <c r="N9" i="29"/>
  <c r="M9" i="29" s="1"/>
  <c r="N42" i="39"/>
  <c r="M42" i="39" s="1"/>
  <c r="N8" i="39"/>
  <c r="M8" i="39" s="1"/>
  <c r="S42" i="39"/>
  <c r="T42" i="39" s="1"/>
  <c r="N38" i="39"/>
  <c r="M38" i="39" s="1"/>
  <c r="S10" i="39"/>
  <c r="T10" i="39" s="1"/>
  <c r="N40" i="39"/>
  <c r="M40" i="39" s="1"/>
  <c r="N10" i="39"/>
  <c r="M10" i="39" s="1"/>
  <c r="N41" i="39"/>
  <c r="M41" i="39" s="1"/>
  <c r="N36" i="39"/>
  <c r="M36" i="39" s="1"/>
  <c r="N33" i="39"/>
  <c r="M33" i="39" s="1"/>
  <c r="N32" i="39"/>
  <c r="M32" i="39" s="1"/>
  <c r="N30" i="39"/>
  <c r="M30" i="39" s="1"/>
  <c r="N28" i="39"/>
  <c r="M28" i="39" s="1"/>
  <c r="N24" i="39"/>
  <c r="M24" i="39" s="1"/>
  <c r="N20" i="39"/>
  <c r="M20" i="39" s="1"/>
  <c r="N18" i="39"/>
  <c r="M18" i="39" s="1"/>
  <c r="S30" i="39"/>
  <c r="T30" i="39" s="1"/>
  <c r="S28" i="39"/>
  <c r="T28" i="39" s="1"/>
  <c r="S11" i="39"/>
  <c r="T11" i="39" s="1"/>
  <c r="S9" i="39"/>
  <c r="T9" i="39" s="1"/>
  <c r="N16" i="29"/>
  <c r="M16" i="29" s="1"/>
  <c r="N45" i="29"/>
  <c r="M45" i="29" s="1"/>
  <c r="N41" i="29"/>
  <c r="M41" i="29" s="1"/>
  <c r="N36" i="29"/>
  <c r="M36" i="29" s="1"/>
  <c r="N32" i="29"/>
  <c r="M32" i="29" s="1"/>
  <c r="N28" i="29"/>
  <c r="M28" i="29" s="1"/>
  <c r="N24" i="29"/>
  <c r="M24" i="29" s="1"/>
  <c r="N20" i="29"/>
  <c r="M20" i="29" s="1"/>
  <c r="N14" i="29"/>
  <c r="M14" i="29" s="1"/>
  <c r="N10" i="29"/>
  <c r="M10" i="29" s="1"/>
  <c r="N6" i="29"/>
  <c r="M6" i="29" s="1"/>
  <c r="N43" i="29"/>
  <c r="M43" i="29" s="1"/>
  <c r="N39" i="29"/>
  <c r="M39" i="29" s="1"/>
  <c r="N30" i="29"/>
  <c r="M30" i="29" s="1"/>
  <c r="N8" i="29"/>
  <c r="M8" i="29" s="1"/>
  <c r="N4" i="29"/>
  <c r="M4" i="29" s="1"/>
  <c r="I2" i="51" l="1"/>
  <c r="H2" i="51"/>
  <c r="P2" i="51" s="1"/>
  <c r="N2" i="51" s="1"/>
  <c r="M2" i="51" s="1"/>
  <c r="F2" i="51"/>
  <c r="W36" i="51"/>
  <c r="V36" i="51"/>
  <c r="P36" i="51"/>
  <c r="L36" i="51"/>
  <c r="W35" i="51"/>
  <c r="V35" i="51"/>
  <c r="P35" i="51"/>
  <c r="L35" i="51"/>
  <c r="W34" i="51"/>
  <c r="V34" i="51"/>
  <c r="P34" i="51"/>
  <c r="N34" i="51" s="1"/>
  <c r="M34" i="51" s="1"/>
  <c r="L34" i="51"/>
  <c r="W2" i="51"/>
  <c r="V2" i="51"/>
  <c r="L2" i="51"/>
  <c r="I29" i="50"/>
  <c r="I11" i="50"/>
  <c r="P25" i="50"/>
  <c r="N25" i="50" s="1"/>
  <c r="M25" i="50" s="1"/>
  <c r="P24" i="50"/>
  <c r="N24" i="50" s="1"/>
  <c r="M24" i="50" s="1"/>
  <c r="I23" i="50"/>
  <c r="L25" i="50"/>
  <c r="V25" i="50"/>
  <c r="W25" i="50"/>
  <c r="L27" i="50"/>
  <c r="P27" i="50"/>
  <c r="V27" i="50"/>
  <c r="W27" i="50"/>
  <c r="L28" i="50"/>
  <c r="P28" i="50"/>
  <c r="V28" i="50"/>
  <c r="W28" i="50"/>
  <c r="L29" i="50"/>
  <c r="P29" i="50"/>
  <c r="N29" i="50" s="1"/>
  <c r="M29" i="50" s="1"/>
  <c r="V29" i="50"/>
  <c r="W29" i="50"/>
  <c r="P18" i="50"/>
  <c r="N18" i="50" s="1"/>
  <c r="M18" i="50" s="1"/>
  <c r="I17" i="50"/>
  <c r="L17" i="50"/>
  <c r="P17" i="50"/>
  <c r="N17" i="50" s="1"/>
  <c r="M17" i="50" s="1"/>
  <c r="V17" i="50"/>
  <c r="W17" i="50"/>
  <c r="L18" i="50"/>
  <c r="V18" i="50"/>
  <c r="W18" i="50"/>
  <c r="L19" i="50"/>
  <c r="P19" i="50"/>
  <c r="V19" i="50"/>
  <c r="W19" i="50"/>
  <c r="L20" i="50"/>
  <c r="P20" i="50"/>
  <c r="V20" i="50"/>
  <c r="W20" i="50"/>
  <c r="L21" i="50"/>
  <c r="P21" i="50"/>
  <c r="N21" i="50" s="1"/>
  <c r="M21" i="50" s="1"/>
  <c r="V21" i="50"/>
  <c r="W21" i="50"/>
  <c r="L22" i="50"/>
  <c r="P22" i="50"/>
  <c r="N22" i="50" s="1"/>
  <c r="V22" i="50"/>
  <c r="W22" i="50"/>
  <c r="L23" i="50"/>
  <c r="P23" i="50"/>
  <c r="N23" i="50" s="1"/>
  <c r="M23" i="50" s="1"/>
  <c r="V23" i="50"/>
  <c r="W23" i="50"/>
  <c r="L24" i="50"/>
  <c r="V24" i="50"/>
  <c r="W24" i="50"/>
  <c r="I10" i="50"/>
  <c r="H10" i="50"/>
  <c r="S28" i="50" l="1"/>
  <c r="T28" i="50" s="1"/>
  <c r="S29" i="50"/>
  <c r="T29" i="50" s="1"/>
  <c r="S22" i="50"/>
  <c r="T22" i="50" s="1"/>
  <c r="S21" i="50"/>
  <c r="T21" i="50" s="1"/>
  <c r="S36" i="51"/>
  <c r="T36" i="51" s="1"/>
  <c r="S35" i="51"/>
  <c r="T35" i="51" s="1"/>
  <c r="S34" i="51"/>
  <c r="T34" i="51" s="1"/>
  <c r="S2" i="51"/>
  <c r="T2" i="51" s="1"/>
  <c r="N35" i="51"/>
  <c r="M35" i="51" s="1"/>
  <c r="N36" i="51"/>
  <c r="M36" i="51" s="1"/>
  <c r="S20" i="50"/>
  <c r="T20" i="50" s="1"/>
  <c r="N27" i="50"/>
  <c r="M27" i="50" s="1"/>
  <c r="N28" i="50"/>
  <c r="S25" i="50"/>
  <c r="T25" i="50" s="1"/>
  <c r="S27" i="50"/>
  <c r="T27" i="50" s="1"/>
  <c r="M22" i="50"/>
  <c r="N19" i="50"/>
  <c r="M19" i="50" s="1"/>
  <c r="N20" i="50"/>
  <c r="M20" i="50" s="1"/>
  <c r="S17" i="50"/>
  <c r="T17" i="50" s="1"/>
  <c r="S23" i="50"/>
  <c r="T23" i="50" s="1"/>
  <c r="S24" i="50"/>
  <c r="T24" i="50" s="1"/>
  <c r="S18" i="50"/>
  <c r="T18" i="50" s="1"/>
  <c r="S19" i="50"/>
  <c r="T19" i="50" s="1"/>
  <c r="I8" i="50"/>
  <c r="P4" i="50"/>
  <c r="I2" i="50"/>
  <c r="H2" i="50"/>
  <c r="P2" i="50" s="1"/>
  <c r="F2" i="50"/>
  <c r="W16" i="50"/>
  <c r="V16" i="50"/>
  <c r="L16" i="50"/>
  <c r="P16" i="50"/>
  <c r="W15" i="50"/>
  <c r="V15" i="50"/>
  <c r="P15" i="50"/>
  <c r="N15" i="50" s="1"/>
  <c r="M15" i="50" s="1"/>
  <c r="L15" i="50"/>
  <c r="W14" i="50"/>
  <c r="V14" i="50"/>
  <c r="P14" i="50"/>
  <c r="N14" i="50" s="1"/>
  <c r="M14" i="50" s="1"/>
  <c r="L14" i="50"/>
  <c r="W11" i="50"/>
  <c r="V11" i="50"/>
  <c r="P11" i="50"/>
  <c r="S11" i="50" s="1"/>
  <c r="T11" i="50" s="1"/>
  <c r="L11" i="50"/>
  <c r="W10" i="50"/>
  <c r="V10" i="50"/>
  <c r="P10" i="50"/>
  <c r="L10" i="50"/>
  <c r="W8" i="50"/>
  <c r="V8" i="50"/>
  <c r="P8" i="50"/>
  <c r="N8" i="50" s="1"/>
  <c r="M8" i="50" s="1"/>
  <c r="L8" i="50"/>
  <c r="W6" i="50"/>
  <c r="V6" i="50"/>
  <c r="P6" i="50"/>
  <c r="L6" i="50"/>
  <c r="W5" i="50"/>
  <c r="V5" i="50"/>
  <c r="P5" i="50"/>
  <c r="S5" i="50" s="1"/>
  <c r="T5" i="50" s="1"/>
  <c r="L5" i="50"/>
  <c r="W4" i="50"/>
  <c r="V4" i="50"/>
  <c r="L4" i="50"/>
  <c r="W3" i="50"/>
  <c r="V3" i="50"/>
  <c r="P3" i="50"/>
  <c r="N3" i="50" s="1"/>
  <c r="M3" i="50" s="1"/>
  <c r="L3" i="50"/>
  <c r="W2" i="50"/>
  <c r="V2" i="50"/>
  <c r="L2" i="50"/>
  <c r="I17" i="49"/>
  <c r="H17" i="49"/>
  <c r="P17" i="49" s="1"/>
  <c r="I15" i="49"/>
  <c r="H15" i="49"/>
  <c r="P15" i="49" s="1"/>
  <c r="N15" i="49" s="1"/>
  <c r="M15" i="49" s="1"/>
  <c r="L18" i="49"/>
  <c r="P18" i="49"/>
  <c r="N18" i="49" s="1"/>
  <c r="M18" i="49" s="1"/>
  <c r="S18" i="49"/>
  <c r="T18" i="49" s="1"/>
  <c r="V18" i="49"/>
  <c r="W18" i="49"/>
  <c r="L19" i="49"/>
  <c r="P19" i="49"/>
  <c r="N19" i="49" s="1"/>
  <c r="M19" i="49" s="1"/>
  <c r="V19" i="49"/>
  <c r="W19" i="49"/>
  <c r="I13" i="49"/>
  <c r="H13" i="49"/>
  <c r="P13" i="49" s="1"/>
  <c r="S13" i="49" s="1"/>
  <c r="T13" i="49" s="1"/>
  <c r="I11" i="49"/>
  <c r="H11" i="49"/>
  <c r="I9" i="49"/>
  <c r="H9" i="49"/>
  <c r="P9" i="49" s="1"/>
  <c r="I7" i="49"/>
  <c r="H7" i="49"/>
  <c r="P7" i="49" s="1"/>
  <c r="I5" i="49"/>
  <c r="H5" i="49"/>
  <c r="P5" i="49" s="1"/>
  <c r="N5" i="49" s="1"/>
  <c r="M5" i="49" s="1"/>
  <c r="H3" i="49"/>
  <c r="P3" i="49" s="1"/>
  <c r="S3" i="49" s="1"/>
  <c r="T3" i="49" s="1"/>
  <c r="I2" i="49"/>
  <c r="W17" i="49"/>
  <c r="V17" i="49"/>
  <c r="L17" i="49"/>
  <c r="W16" i="49"/>
  <c r="V16" i="49"/>
  <c r="P16" i="49"/>
  <c r="S16" i="49" s="1"/>
  <c r="T16" i="49" s="1"/>
  <c r="L16" i="49"/>
  <c r="W15" i="49"/>
  <c r="V15" i="49"/>
  <c r="L15" i="49"/>
  <c r="W14" i="49"/>
  <c r="V14" i="49"/>
  <c r="P14" i="49"/>
  <c r="N14" i="49" s="1"/>
  <c r="M14" i="49" s="1"/>
  <c r="L14" i="49"/>
  <c r="W13" i="49"/>
  <c r="V13" i="49"/>
  <c r="L13" i="49"/>
  <c r="W12" i="49"/>
  <c r="V12" i="49"/>
  <c r="P12" i="49"/>
  <c r="S12" i="49" s="1"/>
  <c r="T12" i="49" s="1"/>
  <c r="L12" i="49"/>
  <c r="W11" i="49"/>
  <c r="V11" i="49"/>
  <c r="P11" i="49"/>
  <c r="L11" i="49"/>
  <c r="W10" i="49"/>
  <c r="V10" i="49"/>
  <c r="P10" i="49"/>
  <c r="S10" i="49" s="1"/>
  <c r="T10" i="49" s="1"/>
  <c r="L10" i="49"/>
  <c r="W9" i="49"/>
  <c r="V9" i="49"/>
  <c r="L9" i="49"/>
  <c r="W8" i="49"/>
  <c r="V8" i="49"/>
  <c r="P8" i="49"/>
  <c r="S8" i="49" s="1"/>
  <c r="T8" i="49" s="1"/>
  <c r="L8" i="49"/>
  <c r="W7" i="49"/>
  <c r="V7" i="49"/>
  <c r="L7" i="49"/>
  <c r="W6" i="49"/>
  <c r="V6" i="49"/>
  <c r="P6" i="49"/>
  <c r="S6" i="49" s="1"/>
  <c r="T6" i="49" s="1"/>
  <c r="L6" i="49"/>
  <c r="W5" i="49"/>
  <c r="V5" i="49"/>
  <c r="L5" i="49"/>
  <c r="W4" i="49"/>
  <c r="V4" i="49"/>
  <c r="P4" i="49"/>
  <c r="S4" i="49" s="1"/>
  <c r="T4" i="49" s="1"/>
  <c r="L4" i="49"/>
  <c r="W3" i="49"/>
  <c r="V3" i="49"/>
  <c r="L3" i="49"/>
  <c r="W2" i="49"/>
  <c r="V2" i="49"/>
  <c r="P2" i="49"/>
  <c r="N2" i="49" s="1"/>
  <c r="M2" i="49" s="1"/>
  <c r="L2" i="49"/>
  <c r="I6" i="48"/>
  <c r="S6" i="50" l="1"/>
  <c r="T6" i="50" s="1"/>
  <c r="S2" i="50"/>
  <c r="T2" i="50" s="1"/>
  <c r="S17" i="49"/>
  <c r="T17" i="49" s="1"/>
  <c r="S11" i="49"/>
  <c r="T11" i="49" s="1"/>
  <c r="N6" i="49"/>
  <c r="M6" i="49" s="1"/>
  <c r="N12" i="49"/>
  <c r="M12" i="49" s="1"/>
  <c r="N11" i="50"/>
  <c r="M11" i="50" s="1"/>
  <c r="S2" i="49"/>
  <c r="T2" i="49" s="1"/>
  <c r="S4" i="50"/>
  <c r="T4" i="50" s="1"/>
  <c r="S15" i="50"/>
  <c r="T15" i="50" s="1"/>
  <c r="S8" i="50"/>
  <c r="T8" i="50" s="1"/>
  <c r="N4" i="50"/>
  <c r="M4" i="50" s="1"/>
  <c r="M28" i="50"/>
  <c r="N2" i="50"/>
  <c r="M2" i="50" s="1"/>
  <c r="N6" i="50"/>
  <c r="M6" i="50" s="1"/>
  <c r="S14" i="50"/>
  <c r="T14" i="50" s="1"/>
  <c r="S3" i="50"/>
  <c r="T3" i="50" s="1"/>
  <c r="S16" i="50"/>
  <c r="T16" i="50" s="1"/>
  <c r="N16" i="50"/>
  <c r="M16" i="50" s="1"/>
  <c r="S10" i="50"/>
  <c r="T10" i="50" s="1"/>
  <c r="N5" i="50"/>
  <c r="M5" i="50" s="1"/>
  <c r="N10" i="50"/>
  <c r="M10" i="50" s="1"/>
  <c r="S9" i="49"/>
  <c r="T9" i="49" s="1"/>
  <c r="N9" i="49"/>
  <c r="M9" i="49" s="1"/>
  <c r="N7" i="49"/>
  <c r="M7" i="49" s="1"/>
  <c r="N8" i="49"/>
  <c r="M8" i="49" s="1"/>
  <c r="N13" i="49"/>
  <c r="M13" i="49" s="1"/>
  <c r="N3" i="49"/>
  <c r="M3" i="49" s="1"/>
  <c r="S5" i="49"/>
  <c r="T5" i="49" s="1"/>
  <c r="S15" i="49"/>
  <c r="T15" i="49" s="1"/>
  <c r="S19" i="49"/>
  <c r="T19" i="49" s="1"/>
  <c r="S14" i="49"/>
  <c r="T14" i="49" s="1"/>
  <c r="N11" i="49"/>
  <c r="M11" i="49" s="1"/>
  <c r="S7" i="49"/>
  <c r="T7" i="49" s="1"/>
  <c r="N17" i="49"/>
  <c r="M17" i="49" s="1"/>
  <c r="N4" i="49"/>
  <c r="M4" i="49" s="1"/>
  <c r="N10" i="49"/>
  <c r="M10" i="49" s="1"/>
  <c r="N16" i="49"/>
  <c r="M16" i="49" s="1"/>
  <c r="W17" i="48"/>
  <c r="V17" i="48"/>
  <c r="P17" i="48"/>
  <c r="N17" i="48"/>
  <c r="M17" i="48" s="1"/>
  <c r="L17" i="48"/>
  <c r="W16" i="48"/>
  <c r="V16" i="48"/>
  <c r="P16" i="48"/>
  <c r="N16" i="48" s="1"/>
  <c r="M16" i="48" s="1"/>
  <c r="L16" i="48"/>
  <c r="W15" i="48"/>
  <c r="V15" i="48"/>
  <c r="P15" i="48"/>
  <c r="N15" i="48" s="1"/>
  <c r="M15" i="48" s="1"/>
  <c r="L15" i="48"/>
  <c r="W14" i="48"/>
  <c r="V14" i="48"/>
  <c r="P14" i="48"/>
  <c r="L14" i="48"/>
  <c r="W13" i="48"/>
  <c r="V13" i="48"/>
  <c r="P13" i="48"/>
  <c r="N13" i="48" s="1"/>
  <c r="M13" i="48" s="1"/>
  <c r="L13" i="48"/>
  <c r="W12" i="48"/>
  <c r="V12" i="48"/>
  <c r="P12" i="48"/>
  <c r="N12" i="48" s="1"/>
  <c r="M12" i="48" s="1"/>
  <c r="L12" i="48"/>
  <c r="W11" i="48"/>
  <c r="V11" i="48"/>
  <c r="P11" i="48"/>
  <c r="N11" i="48" s="1"/>
  <c r="M11" i="48" s="1"/>
  <c r="L11" i="48"/>
  <c r="W10" i="48"/>
  <c r="V10" i="48"/>
  <c r="P10" i="48"/>
  <c r="L10" i="48"/>
  <c r="W9" i="48"/>
  <c r="V9" i="48"/>
  <c r="P9" i="48"/>
  <c r="L9" i="48"/>
  <c r="W8" i="48"/>
  <c r="V8" i="48"/>
  <c r="P8" i="48"/>
  <c r="L8" i="48"/>
  <c r="W7" i="48"/>
  <c r="V7" i="48"/>
  <c r="P7" i="48"/>
  <c r="S7" i="48" s="1"/>
  <c r="T7" i="48" s="1"/>
  <c r="L7" i="48"/>
  <c r="W6" i="48"/>
  <c r="V6" i="48"/>
  <c r="P6" i="48"/>
  <c r="L6" i="48"/>
  <c r="W5" i="48"/>
  <c r="V5" i="48"/>
  <c r="P5" i="48"/>
  <c r="N5" i="48" s="1"/>
  <c r="M5" i="48" s="1"/>
  <c r="L5" i="48"/>
  <c r="W4" i="48"/>
  <c r="V4" i="48"/>
  <c r="P4" i="48"/>
  <c r="N4" i="48" s="1"/>
  <c r="M4" i="48" s="1"/>
  <c r="L4" i="48"/>
  <c r="W3" i="48"/>
  <c r="V3" i="48"/>
  <c r="P3" i="48"/>
  <c r="N3" i="48" s="1"/>
  <c r="M3" i="48" s="1"/>
  <c r="L3" i="48"/>
  <c r="W2" i="48"/>
  <c r="V2" i="48"/>
  <c r="P2" i="48"/>
  <c r="N2" i="48" s="1"/>
  <c r="M2" i="48" s="1"/>
  <c r="L2" i="48"/>
  <c r="I2" i="48"/>
  <c r="S2" i="48" s="1"/>
  <c r="T2" i="48" s="1"/>
  <c r="W11" i="47"/>
  <c r="V11" i="47"/>
  <c r="P11" i="47"/>
  <c r="L11" i="47"/>
  <c r="W10" i="47"/>
  <c r="V10" i="47"/>
  <c r="P10" i="47"/>
  <c r="L10" i="47"/>
  <c r="W9" i="47"/>
  <c r="V9" i="47"/>
  <c r="P9" i="47"/>
  <c r="N9" i="47" s="1"/>
  <c r="M9" i="47" s="1"/>
  <c r="L9" i="47"/>
  <c r="W8" i="47"/>
  <c r="V8" i="47"/>
  <c r="P8" i="47"/>
  <c r="N8" i="47" s="1"/>
  <c r="M8" i="47" s="1"/>
  <c r="L8" i="47"/>
  <c r="W7" i="47"/>
  <c r="V7" i="47"/>
  <c r="P7" i="47"/>
  <c r="L7" i="47"/>
  <c r="W6" i="47"/>
  <c r="V6" i="47"/>
  <c r="P6" i="47"/>
  <c r="N6" i="47" s="1"/>
  <c r="L6" i="47"/>
  <c r="W5" i="47"/>
  <c r="V5" i="47"/>
  <c r="P5" i="47"/>
  <c r="N5" i="47" s="1"/>
  <c r="L5" i="47"/>
  <c r="W4" i="47"/>
  <c r="V4" i="47"/>
  <c r="P4" i="47"/>
  <c r="N4" i="47" s="1"/>
  <c r="M4" i="47" s="1"/>
  <c r="L4" i="47"/>
  <c r="W3" i="47"/>
  <c r="V3" i="47"/>
  <c r="P3" i="47"/>
  <c r="L3" i="47"/>
  <c r="W2" i="47"/>
  <c r="V2" i="47"/>
  <c r="P2" i="47"/>
  <c r="N2" i="47" s="1"/>
  <c r="L2" i="47"/>
  <c r="I2" i="47"/>
  <c r="I21" i="46"/>
  <c r="L23" i="46"/>
  <c r="P23" i="46"/>
  <c r="V23" i="46"/>
  <c r="W23" i="46"/>
  <c r="W22" i="46"/>
  <c r="V22" i="46"/>
  <c r="P22" i="46"/>
  <c r="L22" i="46"/>
  <c r="W21" i="46"/>
  <c r="V21" i="46"/>
  <c r="P21" i="46"/>
  <c r="L21" i="46"/>
  <c r="W20" i="46"/>
  <c r="V20" i="46"/>
  <c r="P20" i="46"/>
  <c r="N20" i="46" s="1"/>
  <c r="M20" i="46" s="1"/>
  <c r="L20" i="46"/>
  <c r="W19" i="46"/>
  <c r="V19" i="46"/>
  <c r="P19" i="46"/>
  <c r="N19" i="46" s="1"/>
  <c r="M19" i="46" s="1"/>
  <c r="L19" i="46"/>
  <c r="W18" i="46"/>
  <c r="V18" i="46"/>
  <c r="P18" i="46"/>
  <c r="L18" i="46"/>
  <c r="I18" i="46"/>
  <c r="F18" i="46"/>
  <c r="W17" i="46"/>
  <c r="V17" i="46"/>
  <c r="P17" i="46"/>
  <c r="L17" i="46"/>
  <c r="I17" i="46"/>
  <c r="W16" i="46"/>
  <c r="V16" i="46"/>
  <c r="P16" i="46"/>
  <c r="L16" i="46"/>
  <c r="I16" i="46"/>
  <c r="F16" i="46"/>
  <c r="W15" i="46"/>
  <c r="V15" i="46"/>
  <c r="P15" i="46"/>
  <c r="N15" i="46" s="1"/>
  <c r="M15" i="46" s="1"/>
  <c r="L15" i="46"/>
  <c r="I15" i="46"/>
  <c r="W14" i="46"/>
  <c r="V14" i="46"/>
  <c r="P14" i="46"/>
  <c r="N14" i="46" s="1"/>
  <c r="M14" i="46" s="1"/>
  <c r="L14" i="46"/>
  <c r="I14" i="46"/>
  <c r="F14" i="46"/>
  <c r="W13" i="46"/>
  <c r="V13" i="46"/>
  <c r="P13" i="46"/>
  <c r="N13" i="46" s="1"/>
  <c r="M13" i="46" s="1"/>
  <c r="L13" i="46"/>
  <c r="I13" i="46"/>
  <c r="W12" i="46"/>
  <c r="V12" i="46"/>
  <c r="P12" i="46"/>
  <c r="N12" i="46" s="1"/>
  <c r="M12" i="46" s="1"/>
  <c r="L12" i="46"/>
  <c r="I12" i="46"/>
  <c r="F12" i="46"/>
  <c r="W11" i="46"/>
  <c r="V11" i="46"/>
  <c r="P11" i="46"/>
  <c r="N11" i="46" s="1"/>
  <c r="M11" i="46" s="1"/>
  <c r="L11" i="46"/>
  <c r="I11" i="46"/>
  <c r="W10" i="46"/>
  <c r="V10" i="46"/>
  <c r="P10" i="46"/>
  <c r="N10" i="46"/>
  <c r="M10" i="46" s="1"/>
  <c r="L10" i="46"/>
  <c r="I10" i="46"/>
  <c r="F10" i="46"/>
  <c r="W9" i="46"/>
  <c r="V9" i="46"/>
  <c r="P9" i="46"/>
  <c r="N9" i="46"/>
  <c r="M9" i="46" s="1"/>
  <c r="L9" i="46"/>
  <c r="I9" i="46"/>
  <c r="W8" i="46"/>
  <c r="V8" i="46"/>
  <c r="P8" i="46"/>
  <c r="L8" i="46"/>
  <c r="I8" i="46"/>
  <c r="F8" i="46"/>
  <c r="W7" i="46"/>
  <c r="V7" i="46"/>
  <c r="P7" i="46"/>
  <c r="N7" i="46"/>
  <c r="M7" i="46" s="1"/>
  <c r="L7" i="46"/>
  <c r="I7" i="46"/>
  <c r="W6" i="46"/>
  <c r="V6" i="46"/>
  <c r="P6" i="46"/>
  <c r="N6" i="46" s="1"/>
  <c r="M6" i="46" s="1"/>
  <c r="L6" i="46"/>
  <c r="I6" i="46"/>
  <c r="F6" i="46"/>
  <c r="W5" i="46"/>
  <c r="V5" i="46"/>
  <c r="P5" i="46"/>
  <c r="N5" i="46"/>
  <c r="M5" i="46" s="1"/>
  <c r="L5" i="46"/>
  <c r="I5" i="46"/>
  <c r="W4" i="46"/>
  <c r="V4" i="46"/>
  <c r="P4" i="46"/>
  <c r="N4" i="46" s="1"/>
  <c r="M4" i="46" s="1"/>
  <c r="L4" i="46"/>
  <c r="I4" i="46"/>
  <c r="F4" i="46"/>
  <c r="W3" i="46"/>
  <c r="V3" i="46"/>
  <c r="P3" i="46"/>
  <c r="N3" i="46" s="1"/>
  <c r="M3" i="46" s="1"/>
  <c r="L3" i="46"/>
  <c r="I3" i="46"/>
  <c r="W2" i="46"/>
  <c r="V2" i="46"/>
  <c r="P2" i="46"/>
  <c r="L2" i="46"/>
  <c r="W14" i="45"/>
  <c r="V14" i="45"/>
  <c r="P14" i="45"/>
  <c r="L14" i="45"/>
  <c r="W12" i="45"/>
  <c r="V12" i="45"/>
  <c r="P12" i="45"/>
  <c r="N12" i="45" s="1"/>
  <c r="L12" i="45"/>
  <c r="W10" i="45"/>
  <c r="V10" i="45"/>
  <c r="P10" i="45"/>
  <c r="N10" i="45" s="1"/>
  <c r="M10" i="45" s="1"/>
  <c r="L10" i="45"/>
  <c r="L4" i="45"/>
  <c r="P4" i="45"/>
  <c r="V4" i="45"/>
  <c r="W4" i="45"/>
  <c r="L3" i="45"/>
  <c r="P3" i="45"/>
  <c r="V3" i="45"/>
  <c r="W3" i="45"/>
  <c r="W18" i="45"/>
  <c r="V18" i="45"/>
  <c r="P18" i="45"/>
  <c r="S18" i="45" s="1"/>
  <c r="T18" i="45" s="1"/>
  <c r="L18" i="45"/>
  <c r="W16" i="45"/>
  <c r="V16" i="45"/>
  <c r="P16" i="45"/>
  <c r="N16" i="45" s="1"/>
  <c r="M16" i="45" s="1"/>
  <c r="L16" i="45"/>
  <c r="W15" i="45"/>
  <c r="V15" i="45"/>
  <c r="P15" i="45"/>
  <c r="L15" i="45"/>
  <c r="W13" i="45"/>
  <c r="V13" i="45"/>
  <c r="P13" i="45"/>
  <c r="L13" i="45"/>
  <c r="W11" i="45"/>
  <c r="V11" i="45"/>
  <c r="P11" i="45"/>
  <c r="N11" i="45" s="1"/>
  <c r="M11" i="45" s="1"/>
  <c r="L11" i="45"/>
  <c r="W9" i="45"/>
  <c r="V9" i="45"/>
  <c r="P9" i="45"/>
  <c r="L9" i="45"/>
  <c r="W5" i="45"/>
  <c r="V5" i="45"/>
  <c r="P5" i="45"/>
  <c r="L5" i="45"/>
  <c r="W2" i="45"/>
  <c r="V2" i="45"/>
  <c r="P2" i="45"/>
  <c r="L2" i="45"/>
  <c r="P9" i="42"/>
  <c r="N9" i="42" s="1"/>
  <c r="W46" i="42"/>
  <c r="V46" i="42"/>
  <c r="P46" i="42"/>
  <c r="N46" i="42" s="1"/>
  <c r="M46" i="42" s="1"/>
  <c r="L46" i="42"/>
  <c r="W45" i="42"/>
  <c r="V45" i="42"/>
  <c r="P45" i="42"/>
  <c r="S45" i="42" s="1"/>
  <c r="T45" i="42" s="1"/>
  <c r="L45" i="42"/>
  <c r="W44" i="42"/>
  <c r="V44" i="42"/>
  <c r="P44" i="42"/>
  <c r="N44" i="42" s="1"/>
  <c r="M44" i="42" s="1"/>
  <c r="L44" i="42"/>
  <c r="I44" i="42"/>
  <c r="W43" i="42"/>
  <c r="V43" i="42"/>
  <c r="P43" i="42"/>
  <c r="L43" i="42"/>
  <c r="W42" i="42"/>
  <c r="V42" i="42"/>
  <c r="P42" i="42"/>
  <c r="N42" i="42" s="1"/>
  <c r="M42" i="42" s="1"/>
  <c r="L42" i="42"/>
  <c r="I42" i="42"/>
  <c r="W41" i="42"/>
  <c r="V41" i="42"/>
  <c r="P41" i="42"/>
  <c r="S41" i="42" s="1"/>
  <c r="T41" i="42" s="1"/>
  <c r="L41" i="42"/>
  <c r="W40" i="42"/>
  <c r="V40" i="42"/>
  <c r="P40" i="42"/>
  <c r="N40" i="42" s="1"/>
  <c r="L40" i="42"/>
  <c r="W37" i="42"/>
  <c r="V37" i="42"/>
  <c r="P37" i="42"/>
  <c r="N37" i="42" s="1"/>
  <c r="L37" i="42"/>
  <c r="W33" i="42"/>
  <c r="V33" i="42"/>
  <c r="P33" i="42"/>
  <c r="N33" i="42" s="1"/>
  <c r="L33" i="42"/>
  <c r="W32" i="42"/>
  <c r="V32" i="42"/>
  <c r="P32" i="42"/>
  <c r="N32" i="42" s="1"/>
  <c r="M32" i="42" s="1"/>
  <c r="L32" i="42"/>
  <c r="W27" i="42"/>
  <c r="V27" i="42"/>
  <c r="P27" i="42"/>
  <c r="S27" i="42" s="1"/>
  <c r="T27" i="42" s="1"/>
  <c r="L27" i="42"/>
  <c r="W26" i="42"/>
  <c r="V26" i="42"/>
  <c r="L26" i="42"/>
  <c r="I26" i="42"/>
  <c r="H26" i="42"/>
  <c r="P26" i="42" s="1"/>
  <c r="W25" i="42"/>
  <c r="V25" i="42"/>
  <c r="P25" i="42"/>
  <c r="S25" i="42" s="1"/>
  <c r="T25" i="42" s="1"/>
  <c r="L25" i="42"/>
  <c r="W24" i="42"/>
  <c r="V24" i="42"/>
  <c r="P24" i="42"/>
  <c r="L24" i="42"/>
  <c r="I24" i="42"/>
  <c r="W23" i="42"/>
  <c r="V23" i="42"/>
  <c r="P23" i="42"/>
  <c r="N23" i="42" s="1"/>
  <c r="M23" i="42" s="1"/>
  <c r="L23" i="42"/>
  <c r="I23" i="42"/>
  <c r="W22" i="42"/>
  <c r="V22" i="42"/>
  <c r="P22" i="42"/>
  <c r="N22" i="42" s="1"/>
  <c r="L22" i="42"/>
  <c r="I22" i="42"/>
  <c r="W19" i="42"/>
  <c r="V19" i="42"/>
  <c r="P19" i="42"/>
  <c r="S19" i="42" s="1"/>
  <c r="T19" i="42" s="1"/>
  <c r="L19" i="42"/>
  <c r="W18" i="42"/>
  <c r="V18" i="42"/>
  <c r="P18" i="42"/>
  <c r="N18" i="42" s="1"/>
  <c r="L18" i="42"/>
  <c r="I18" i="42"/>
  <c r="W16" i="42"/>
  <c r="V16" i="42"/>
  <c r="P16" i="42"/>
  <c r="L16" i="42"/>
  <c r="W14" i="42"/>
  <c r="V14" i="42"/>
  <c r="P14" i="42"/>
  <c r="N14" i="42" s="1"/>
  <c r="M14" i="42" s="1"/>
  <c r="L14" i="42"/>
  <c r="W13" i="42"/>
  <c r="V13" i="42"/>
  <c r="P13" i="42"/>
  <c r="N13" i="42" s="1"/>
  <c r="L13" i="42"/>
  <c r="W12" i="42"/>
  <c r="V12" i="42"/>
  <c r="P12" i="42"/>
  <c r="N12" i="42" s="1"/>
  <c r="L12" i="42"/>
  <c r="W9" i="42"/>
  <c r="V9" i="42"/>
  <c r="L9" i="42"/>
  <c r="W8" i="42"/>
  <c r="V8" i="42"/>
  <c r="P8" i="42"/>
  <c r="S8" i="42" s="1"/>
  <c r="T8" i="42" s="1"/>
  <c r="L8" i="42"/>
  <c r="W7" i="42"/>
  <c r="V7" i="42"/>
  <c r="P7" i="42"/>
  <c r="N7" i="42" s="1"/>
  <c r="L7" i="42"/>
  <c r="W6" i="42"/>
  <c r="V6" i="42"/>
  <c r="P6" i="42"/>
  <c r="S6" i="42" s="1"/>
  <c r="T6" i="42" s="1"/>
  <c r="L6" i="42"/>
  <c r="W5" i="42"/>
  <c r="V5" i="42"/>
  <c r="P5" i="42"/>
  <c r="N5" i="42" s="1"/>
  <c r="M5" i="42" s="1"/>
  <c r="L5" i="42"/>
  <c r="I5" i="42"/>
  <c r="W4" i="42"/>
  <c r="V4" i="42"/>
  <c r="P4" i="42"/>
  <c r="S4" i="42" s="1"/>
  <c r="T4" i="42" s="1"/>
  <c r="L4" i="42"/>
  <c r="W3" i="42"/>
  <c r="V3" i="42"/>
  <c r="P3" i="42"/>
  <c r="N3" i="42" s="1"/>
  <c r="M3" i="42" s="1"/>
  <c r="L3" i="42"/>
  <c r="I3" i="42"/>
  <c r="W2" i="42"/>
  <c r="V2" i="42"/>
  <c r="P2" i="42"/>
  <c r="N2" i="42" s="1"/>
  <c r="M2" i="42" s="1"/>
  <c r="L2" i="42"/>
  <c r="W39" i="41"/>
  <c r="V39" i="41"/>
  <c r="P39" i="41"/>
  <c r="N39" i="41" s="1"/>
  <c r="M39" i="41" s="1"/>
  <c r="L39" i="41"/>
  <c r="W38" i="41"/>
  <c r="V38" i="41"/>
  <c r="P38" i="41"/>
  <c r="L38" i="41"/>
  <c r="W37" i="41"/>
  <c r="V37" i="41"/>
  <c r="P37" i="41"/>
  <c r="L37" i="41"/>
  <c r="W36" i="41"/>
  <c r="V36" i="41"/>
  <c r="P36" i="41"/>
  <c r="L36" i="41"/>
  <c r="W35" i="41"/>
  <c r="V35" i="41"/>
  <c r="P35" i="41"/>
  <c r="N35" i="41" s="1"/>
  <c r="M35" i="41" s="1"/>
  <c r="L35" i="41"/>
  <c r="W33" i="41"/>
  <c r="V33" i="41"/>
  <c r="P33" i="41"/>
  <c r="L33" i="41"/>
  <c r="W32" i="41"/>
  <c r="V32" i="41"/>
  <c r="P32" i="41"/>
  <c r="L32" i="41"/>
  <c r="W31" i="41"/>
  <c r="V31" i="41"/>
  <c r="P31" i="41"/>
  <c r="S31" i="41" s="1"/>
  <c r="T31" i="41" s="1"/>
  <c r="L31" i="41"/>
  <c r="W30" i="41"/>
  <c r="V30" i="41"/>
  <c r="P30" i="41"/>
  <c r="L30" i="41"/>
  <c r="W29" i="41"/>
  <c r="V29" i="41"/>
  <c r="P29" i="41"/>
  <c r="S29" i="41" s="1"/>
  <c r="T29" i="41" s="1"/>
  <c r="L29" i="41"/>
  <c r="W28" i="41"/>
  <c r="V28" i="41"/>
  <c r="L28" i="41"/>
  <c r="P28" i="41"/>
  <c r="W27" i="41"/>
  <c r="V27" i="41"/>
  <c r="P27" i="41"/>
  <c r="L27" i="41"/>
  <c r="W26" i="41"/>
  <c r="V26" i="41"/>
  <c r="P26" i="41"/>
  <c r="L26" i="41"/>
  <c r="I26" i="41"/>
  <c r="W25" i="41"/>
  <c r="V25" i="41"/>
  <c r="P25" i="41"/>
  <c r="L25" i="41"/>
  <c r="I25" i="41"/>
  <c r="W24" i="41"/>
  <c r="V24" i="41"/>
  <c r="P24" i="41"/>
  <c r="L24" i="41"/>
  <c r="I24" i="41"/>
  <c r="W23" i="41"/>
  <c r="V23" i="41"/>
  <c r="P23" i="41"/>
  <c r="N23" i="41" s="1"/>
  <c r="M23" i="41" s="1"/>
  <c r="L23" i="41"/>
  <c r="W22" i="41"/>
  <c r="V22" i="41"/>
  <c r="L22" i="41"/>
  <c r="P22" i="41"/>
  <c r="W21" i="41"/>
  <c r="V21" i="41"/>
  <c r="P21" i="41"/>
  <c r="L21" i="41"/>
  <c r="W20" i="41"/>
  <c r="V20" i="41"/>
  <c r="P20" i="41"/>
  <c r="L20" i="41"/>
  <c r="W17" i="41"/>
  <c r="V17" i="41"/>
  <c r="P17" i="41"/>
  <c r="N17" i="41" s="1"/>
  <c r="M17" i="41" s="1"/>
  <c r="L17" i="41"/>
  <c r="W16" i="41"/>
  <c r="V16" i="41"/>
  <c r="P16" i="41"/>
  <c r="L16" i="41"/>
  <c r="W15" i="41"/>
  <c r="V15" i="41"/>
  <c r="P15" i="41"/>
  <c r="L15" i="41"/>
  <c r="W14" i="41"/>
  <c r="V14" i="41"/>
  <c r="P14" i="41"/>
  <c r="L14" i="41"/>
  <c r="W13" i="41"/>
  <c r="V13" i="41"/>
  <c r="P13" i="41"/>
  <c r="N13" i="41" s="1"/>
  <c r="M13" i="41" s="1"/>
  <c r="L13" i="41"/>
  <c r="W12" i="41"/>
  <c r="V12" i="41"/>
  <c r="P12" i="41"/>
  <c r="S12" i="41" s="1"/>
  <c r="T12" i="41" s="1"/>
  <c r="L12" i="41"/>
  <c r="W10" i="41"/>
  <c r="V10" i="41"/>
  <c r="P10" i="41"/>
  <c r="S10" i="41" s="1"/>
  <c r="T10" i="41" s="1"/>
  <c r="L10" i="41"/>
  <c r="W9" i="41"/>
  <c r="V9" i="41"/>
  <c r="P9" i="41"/>
  <c r="L9" i="41"/>
  <c r="W8" i="41"/>
  <c r="V8" i="41"/>
  <c r="P8" i="41"/>
  <c r="S8" i="41" s="1"/>
  <c r="T8" i="41" s="1"/>
  <c r="L8" i="41"/>
  <c r="W7" i="41"/>
  <c r="V7" i="41"/>
  <c r="P7" i="41"/>
  <c r="L7" i="41"/>
  <c r="W4" i="41"/>
  <c r="V4" i="41"/>
  <c r="P4" i="41"/>
  <c r="L4" i="41"/>
  <c r="W2" i="41"/>
  <c r="V2" i="41"/>
  <c r="P2" i="41"/>
  <c r="L2" i="41"/>
  <c r="W41" i="40"/>
  <c r="V41" i="40"/>
  <c r="P41" i="40"/>
  <c r="N41" i="40" s="1"/>
  <c r="M41" i="40" s="1"/>
  <c r="L41" i="40"/>
  <c r="I41" i="40"/>
  <c r="W40" i="40"/>
  <c r="V40" i="40"/>
  <c r="P40" i="40"/>
  <c r="L40" i="40"/>
  <c r="I40" i="40"/>
  <c r="W39" i="40"/>
  <c r="V39" i="40"/>
  <c r="P39" i="40"/>
  <c r="N39" i="40" s="1"/>
  <c r="M39" i="40" s="1"/>
  <c r="L39" i="40"/>
  <c r="W38" i="40"/>
  <c r="V38" i="40"/>
  <c r="P38" i="40"/>
  <c r="N38" i="40" s="1"/>
  <c r="M38" i="40" s="1"/>
  <c r="L38" i="40"/>
  <c r="I38" i="40"/>
  <c r="F38" i="40"/>
  <c r="W37" i="40"/>
  <c r="V37" i="40"/>
  <c r="P37" i="40"/>
  <c r="N37" i="40" s="1"/>
  <c r="M37" i="40" s="1"/>
  <c r="L37" i="40"/>
  <c r="W36" i="40"/>
  <c r="V36" i="40"/>
  <c r="P36" i="40"/>
  <c r="N36" i="40" s="1"/>
  <c r="M36" i="40" s="1"/>
  <c r="L36" i="40"/>
  <c r="I36" i="40"/>
  <c r="F36" i="40"/>
  <c r="W35" i="40"/>
  <c r="V35" i="40"/>
  <c r="P35" i="40"/>
  <c r="N35" i="40" s="1"/>
  <c r="M35" i="40" s="1"/>
  <c r="L35" i="40"/>
  <c r="W34" i="40"/>
  <c r="V34" i="40"/>
  <c r="P34" i="40"/>
  <c r="L34" i="40"/>
  <c r="W33" i="40"/>
  <c r="V33" i="40"/>
  <c r="P33" i="40"/>
  <c r="L33" i="40"/>
  <c r="W31" i="40"/>
  <c r="V31" i="40"/>
  <c r="P31" i="40"/>
  <c r="N31" i="40" s="1"/>
  <c r="M31" i="40" s="1"/>
  <c r="L31" i="40"/>
  <c r="W30" i="40"/>
  <c r="V30" i="40"/>
  <c r="P30" i="40"/>
  <c r="N30" i="40" s="1"/>
  <c r="M30" i="40" s="1"/>
  <c r="L30" i="40"/>
  <c r="W29" i="40"/>
  <c r="V29" i="40"/>
  <c r="P29" i="40"/>
  <c r="L29" i="40"/>
  <c r="I29" i="40"/>
  <c r="F29" i="40"/>
  <c r="W28" i="40"/>
  <c r="V28" i="40"/>
  <c r="P28" i="40"/>
  <c r="L28" i="40"/>
  <c r="W27" i="40"/>
  <c r="V27" i="40"/>
  <c r="P27" i="40"/>
  <c r="N27" i="40" s="1"/>
  <c r="M27" i="40" s="1"/>
  <c r="L27" i="40"/>
  <c r="I27" i="40"/>
  <c r="F27" i="40"/>
  <c r="W26" i="40"/>
  <c r="V26" i="40"/>
  <c r="P26" i="40"/>
  <c r="S26" i="40" s="1"/>
  <c r="T26" i="40" s="1"/>
  <c r="L26" i="40"/>
  <c r="W25" i="40"/>
  <c r="V25" i="40"/>
  <c r="P25" i="40"/>
  <c r="L25" i="40"/>
  <c r="I25" i="40"/>
  <c r="F25" i="40"/>
  <c r="W24" i="40"/>
  <c r="V24" i="40"/>
  <c r="L24" i="40"/>
  <c r="I24" i="40"/>
  <c r="H24" i="40"/>
  <c r="P24" i="40" s="1"/>
  <c r="W23" i="40"/>
  <c r="V23" i="40"/>
  <c r="P23" i="40"/>
  <c r="L23" i="40"/>
  <c r="I23" i="40"/>
  <c r="W22" i="40"/>
  <c r="V22" i="40"/>
  <c r="P22" i="40"/>
  <c r="N22" i="40" s="1"/>
  <c r="M22" i="40" s="1"/>
  <c r="L22" i="40"/>
  <c r="I22" i="40"/>
  <c r="W21" i="40"/>
  <c r="V21" i="40"/>
  <c r="P21" i="40"/>
  <c r="N21" i="40" s="1"/>
  <c r="M21" i="40" s="1"/>
  <c r="L21" i="40"/>
  <c r="I21" i="40"/>
  <c r="F21" i="40"/>
  <c r="W20" i="40"/>
  <c r="V20" i="40"/>
  <c r="L20" i="40"/>
  <c r="I20" i="40"/>
  <c r="H20" i="40"/>
  <c r="P20" i="40" s="1"/>
  <c r="N20" i="40" s="1"/>
  <c r="M20" i="40" s="1"/>
  <c r="W19" i="40"/>
  <c r="V19" i="40"/>
  <c r="P19" i="40"/>
  <c r="N19" i="40" s="1"/>
  <c r="M19" i="40" s="1"/>
  <c r="L19" i="40"/>
  <c r="I19" i="40"/>
  <c r="F19" i="40"/>
  <c r="W18" i="40"/>
  <c r="V18" i="40"/>
  <c r="P18" i="40"/>
  <c r="N18" i="40" s="1"/>
  <c r="M18" i="40" s="1"/>
  <c r="L18" i="40"/>
  <c r="I18" i="40"/>
  <c r="W17" i="40"/>
  <c r="V17" i="40"/>
  <c r="P17" i="40"/>
  <c r="N17" i="40" s="1"/>
  <c r="M17" i="40" s="1"/>
  <c r="L17" i="40"/>
  <c r="I17" i="40"/>
  <c r="F17" i="40"/>
  <c r="W16" i="40"/>
  <c r="V16" i="40"/>
  <c r="P16" i="40"/>
  <c r="N16" i="40" s="1"/>
  <c r="M16" i="40" s="1"/>
  <c r="L16" i="40"/>
  <c r="I16" i="40"/>
  <c r="W15" i="40"/>
  <c r="V15" i="40"/>
  <c r="P15" i="40"/>
  <c r="L15" i="40"/>
  <c r="I15" i="40"/>
  <c r="F15" i="40"/>
  <c r="W14" i="40"/>
  <c r="V14" i="40"/>
  <c r="P14" i="40"/>
  <c r="L14" i="40"/>
  <c r="W13" i="40"/>
  <c r="V13" i="40"/>
  <c r="P13" i="40"/>
  <c r="S13" i="40" s="1"/>
  <c r="T13" i="40" s="1"/>
  <c r="L13" i="40"/>
  <c r="W12" i="40"/>
  <c r="V12" i="40"/>
  <c r="P12" i="40"/>
  <c r="N12" i="40" s="1"/>
  <c r="M12" i="40" s="1"/>
  <c r="L12" i="40"/>
  <c r="W11" i="40"/>
  <c r="V11" i="40"/>
  <c r="P11" i="40"/>
  <c r="N11" i="40" s="1"/>
  <c r="M11" i="40" s="1"/>
  <c r="L11" i="40"/>
  <c r="W10" i="40"/>
  <c r="V10" i="40"/>
  <c r="P10" i="40"/>
  <c r="L10" i="40"/>
  <c r="W9" i="40"/>
  <c r="V9" i="40"/>
  <c r="P9" i="40"/>
  <c r="L9" i="40"/>
  <c r="W8" i="40"/>
  <c r="V8" i="40"/>
  <c r="P8" i="40"/>
  <c r="N8" i="40" s="1"/>
  <c r="M8" i="40" s="1"/>
  <c r="L8" i="40"/>
  <c r="I8" i="40"/>
  <c r="F8" i="40"/>
  <c r="W7" i="40"/>
  <c r="V7" i="40"/>
  <c r="P7" i="40"/>
  <c r="N7" i="40" s="1"/>
  <c r="M7" i="40" s="1"/>
  <c r="L7" i="40"/>
  <c r="I7" i="40"/>
  <c r="W6" i="40"/>
  <c r="V6" i="40"/>
  <c r="P6" i="40"/>
  <c r="L6" i="40"/>
  <c r="I6" i="40"/>
  <c r="F6" i="40"/>
  <c r="W5" i="40"/>
  <c r="V5" i="40"/>
  <c r="P5" i="40"/>
  <c r="L5" i="40"/>
  <c r="I5" i="40"/>
  <c r="W4" i="40"/>
  <c r="V4" i="40"/>
  <c r="P4" i="40"/>
  <c r="N4" i="40" s="1"/>
  <c r="M4" i="40" s="1"/>
  <c r="L4" i="40"/>
  <c r="I4" i="40"/>
  <c r="F4" i="40"/>
  <c r="W3" i="40"/>
  <c r="V3" i="40"/>
  <c r="P3" i="40"/>
  <c r="N3" i="40" s="1"/>
  <c r="M3" i="40" s="1"/>
  <c r="L3" i="40"/>
  <c r="I3" i="40"/>
  <c r="W2" i="40"/>
  <c r="V2" i="40"/>
  <c r="P2" i="40"/>
  <c r="N2" i="40" s="1"/>
  <c r="M2" i="40" s="1"/>
  <c r="L2" i="40"/>
  <c r="W37" i="28"/>
  <c r="V37" i="28"/>
  <c r="P37" i="28"/>
  <c r="S37" i="28" s="1"/>
  <c r="T37" i="28" s="1"/>
  <c r="L37" i="28"/>
  <c r="W33" i="28"/>
  <c r="V33" i="28"/>
  <c r="P33" i="28"/>
  <c r="S33" i="28" s="1"/>
  <c r="T33" i="28" s="1"/>
  <c r="L33" i="28"/>
  <c r="W31" i="28"/>
  <c r="V31" i="28"/>
  <c r="P31" i="28"/>
  <c r="L31" i="28"/>
  <c r="W23" i="28"/>
  <c r="V23" i="28"/>
  <c r="P23" i="28"/>
  <c r="L23" i="28"/>
  <c r="W18" i="28"/>
  <c r="V18" i="28"/>
  <c r="P18" i="28"/>
  <c r="N18" i="28" s="1"/>
  <c r="M18" i="28" s="1"/>
  <c r="L18" i="28"/>
  <c r="W16" i="28"/>
  <c r="V16" i="28"/>
  <c r="P16" i="28"/>
  <c r="N16" i="28" s="1"/>
  <c r="M16" i="28" s="1"/>
  <c r="L16" i="28"/>
  <c r="W10" i="28"/>
  <c r="V10" i="28"/>
  <c r="P10" i="28"/>
  <c r="N10" i="28" s="1"/>
  <c r="M10" i="28" s="1"/>
  <c r="L10" i="28"/>
  <c r="W6" i="28"/>
  <c r="V6" i="28"/>
  <c r="P6" i="28"/>
  <c r="S6" i="28" s="1"/>
  <c r="T6" i="28" s="1"/>
  <c r="L6" i="28"/>
  <c r="L4" i="28"/>
  <c r="P4" i="28"/>
  <c r="S4" i="28" s="1"/>
  <c r="T4" i="28" s="1"/>
  <c r="V4" i="28"/>
  <c r="W4" i="28"/>
  <c r="N31" i="41" l="1"/>
  <c r="M31" i="41" s="1"/>
  <c r="S15" i="46"/>
  <c r="T15" i="46" s="1"/>
  <c r="S10" i="45"/>
  <c r="T10" i="45" s="1"/>
  <c r="N6" i="28"/>
  <c r="M6" i="28" s="1"/>
  <c r="S16" i="28"/>
  <c r="T16" i="28" s="1"/>
  <c r="N37" i="28"/>
  <c r="M37" i="28" s="1"/>
  <c r="N4" i="42"/>
  <c r="M4" i="42" s="1"/>
  <c r="S40" i="42"/>
  <c r="T40" i="42" s="1"/>
  <c r="S14" i="42"/>
  <c r="T14" i="42" s="1"/>
  <c r="S11" i="48"/>
  <c r="T11" i="48" s="1"/>
  <c r="S7" i="46"/>
  <c r="T7" i="46" s="1"/>
  <c r="S9" i="46"/>
  <c r="T9" i="46" s="1"/>
  <c r="S10" i="28"/>
  <c r="T10" i="28" s="1"/>
  <c r="N33" i="28"/>
  <c r="M33" i="28" s="1"/>
  <c r="S16" i="42"/>
  <c r="T16" i="42" s="1"/>
  <c r="S33" i="42"/>
  <c r="T33" i="42" s="1"/>
  <c r="S4" i="46"/>
  <c r="T4" i="46" s="1"/>
  <c r="S14" i="46"/>
  <c r="T14" i="46" s="1"/>
  <c r="S18" i="46"/>
  <c r="T18" i="46" s="1"/>
  <c r="S2" i="47"/>
  <c r="T2" i="47" s="1"/>
  <c r="S15" i="48"/>
  <c r="T15" i="48" s="1"/>
  <c r="S22" i="42"/>
  <c r="T22" i="42" s="1"/>
  <c r="N13" i="40"/>
  <c r="M13" i="40" s="1"/>
  <c r="S36" i="40"/>
  <c r="T36" i="40" s="1"/>
  <c r="S3" i="40"/>
  <c r="T3" i="40" s="1"/>
  <c r="S18" i="40"/>
  <c r="T18" i="40" s="1"/>
  <c r="S22" i="40"/>
  <c r="T22" i="40" s="1"/>
  <c r="S41" i="40"/>
  <c r="T41" i="40" s="1"/>
  <c r="S4" i="40"/>
  <c r="T4" i="40" s="1"/>
  <c r="S16" i="40"/>
  <c r="T16" i="40" s="1"/>
  <c r="S38" i="40"/>
  <c r="T38" i="40" s="1"/>
  <c r="S31" i="40"/>
  <c r="T31" i="40" s="1"/>
  <c r="S30" i="40"/>
  <c r="T30" i="40" s="1"/>
  <c r="S6" i="40"/>
  <c r="T6" i="40" s="1"/>
  <c r="S17" i="40"/>
  <c r="T17" i="40" s="1"/>
  <c r="S20" i="40"/>
  <c r="T20" i="40" s="1"/>
  <c r="S2" i="40"/>
  <c r="T2" i="40" s="1"/>
  <c r="S7" i="40"/>
  <c r="T7" i="40" s="1"/>
  <c r="S14" i="40"/>
  <c r="T14" i="40" s="1"/>
  <c r="S27" i="40"/>
  <c r="T27" i="40" s="1"/>
  <c r="S8" i="40"/>
  <c r="T8" i="40" s="1"/>
  <c r="S11" i="40"/>
  <c r="T11" i="40" s="1"/>
  <c r="S10" i="40"/>
  <c r="T10" i="40" s="1"/>
  <c r="S23" i="28"/>
  <c r="T23" i="28" s="1"/>
  <c r="N23" i="28"/>
  <c r="M23" i="28" s="1"/>
  <c r="N34" i="40"/>
  <c r="M34" i="40" s="1"/>
  <c r="N9" i="41"/>
  <c r="S35" i="40"/>
  <c r="T35" i="40" s="1"/>
  <c r="S31" i="28"/>
  <c r="T31" i="28" s="1"/>
  <c r="S34" i="40"/>
  <c r="T34" i="40" s="1"/>
  <c r="N31" i="28"/>
  <c r="M31" i="28" s="1"/>
  <c r="S2" i="41"/>
  <c r="T2" i="41" s="1"/>
  <c r="N2" i="41"/>
  <c r="M2" i="41" s="1"/>
  <c r="N7" i="41"/>
  <c r="M7" i="41" s="1"/>
  <c r="S7" i="41"/>
  <c r="T7" i="41" s="1"/>
  <c r="S21" i="41"/>
  <c r="T21" i="41" s="1"/>
  <c r="N21" i="41"/>
  <c r="M21" i="41" s="1"/>
  <c r="S33" i="41"/>
  <c r="T33" i="41" s="1"/>
  <c r="N33" i="41"/>
  <c r="M33" i="41" s="1"/>
  <c r="S9" i="41"/>
  <c r="T9" i="41" s="1"/>
  <c r="N16" i="46"/>
  <c r="M16" i="46" s="1"/>
  <c r="S17" i="48"/>
  <c r="T17" i="48" s="1"/>
  <c r="S24" i="40"/>
  <c r="T24" i="40" s="1"/>
  <c r="S37" i="40"/>
  <c r="T37" i="40" s="1"/>
  <c r="S17" i="41"/>
  <c r="T17" i="41" s="1"/>
  <c r="N2" i="45"/>
  <c r="M2" i="45" s="1"/>
  <c r="N17" i="46"/>
  <c r="M17" i="46" s="1"/>
  <c r="S18" i="28"/>
  <c r="T18" i="28" s="1"/>
  <c r="N9" i="40"/>
  <c r="M9" i="40" s="1"/>
  <c r="S9" i="40"/>
  <c r="T9" i="40" s="1"/>
  <c r="S39" i="40"/>
  <c r="T39" i="40" s="1"/>
  <c r="N26" i="41"/>
  <c r="M26" i="41" s="1"/>
  <c r="S4" i="45"/>
  <c r="T4" i="45" s="1"/>
  <c r="S12" i="45"/>
  <c r="T12" i="45" s="1"/>
  <c r="N2" i="46"/>
  <c r="M2" i="46" s="1"/>
  <c r="S16" i="46"/>
  <c r="T16" i="46" s="1"/>
  <c r="S5" i="40"/>
  <c r="T5" i="40" s="1"/>
  <c r="S15" i="40"/>
  <c r="T15" i="40" s="1"/>
  <c r="S19" i="40"/>
  <c r="T19" i="40" s="1"/>
  <c r="S21" i="40"/>
  <c r="T21" i="40" s="1"/>
  <c r="S40" i="40"/>
  <c r="T40" i="40" s="1"/>
  <c r="S25" i="41"/>
  <c r="T25" i="41" s="1"/>
  <c r="N27" i="41"/>
  <c r="M27" i="41" s="1"/>
  <c r="S13" i="42"/>
  <c r="T13" i="42" s="1"/>
  <c r="N43" i="42"/>
  <c r="M43" i="42" s="1"/>
  <c r="S43" i="42"/>
  <c r="T43" i="42" s="1"/>
  <c r="N18" i="45"/>
  <c r="M18" i="45" s="1"/>
  <c r="N14" i="45"/>
  <c r="M14" i="45" s="1"/>
  <c r="S6" i="46"/>
  <c r="T6" i="46" s="1"/>
  <c r="S13" i="48"/>
  <c r="T13" i="48" s="1"/>
  <c r="S12" i="40"/>
  <c r="T12" i="40" s="1"/>
  <c r="S23" i="40"/>
  <c r="T23" i="40" s="1"/>
  <c r="S25" i="40"/>
  <c r="T25" i="40" s="1"/>
  <c r="S29" i="40"/>
  <c r="T29" i="40" s="1"/>
  <c r="S33" i="40"/>
  <c r="T33" i="40" s="1"/>
  <c r="S13" i="41"/>
  <c r="T13" i="41" s="1"/>
  <c r="S26" i="41"/>
  <c r="T26" i="41" s="1"/>
  <c r="N16" i="42"/>
  <c r="M16" i="42" s="1"/>
  <c r="N24" i="42"/>
  <c r="M24" i="42" s="1"/>
  <c r="S5" i="45"/>
  <c r="T5" i="45" s="1"/>
  <c r="S2" i="46"/>
  <c r="T2" i="46" s="1"/>
  <c r="S17" i="46"/>
  <c r="T17" i="46" s="1"/>
  <c r="N8" i="48"/>
  <c r="M8" i="48" s="1"/>
  <c r="S8" i="48"/>
  <c r="T8" i="48" s="1"/>
  <c r="N9" i="48"/>
  <c r="M9" i="48" s="1"/>
  <c r="S9" i="48"/>
  <c r="T9" i="48" s="1"/>
  <c r="S10" i="48"/>
  <c r="T10" i="48" s="1"/>
  <c r="N10" i="48"/>
  <c r="M10" i="48" s="1"/>
  <c r="S7" i="42"/>
  <c r="T7" i="42" s="1"/>
  <c r="S24" i="42"/>
  <c r="T24" i="42" s="1"/>
  <c r="S21" i="46"/>
  <c r="T21" i="46" s="1"/>
  <c r="S20" i="46"/>
  <c r="T20" i="46" s="1"/>
  <c r="S2" i="42"/>
  <c r="T2" i="42" s="1"/>
  <c r="S23" i="42"/>
  <c r="T23" i="42" s="1"/>
  <c r="N25" i="42"/>
  <c r="M25" i="42" s="1"/>
  <c r="S44" i="42"/>
  <c r="T44" i="42" s="1"/>
  <c r="S2" i="45"/>
  <c r="T2" i="45" s="1"/>
  <c r="S5" i="46"/>
  <c r="T5" i="46" s="1"/>
  <c r="S8" i="46"/>
  <c r="T8" i="46" s="1"/>
  <c r="S10" i="46"/>
  <c r="T10" i="46" s="1"/>
  <c r="S12" i="46"/>
  <c r="T12" i="46" s="1"/>
  <c r="N18" i="46"/>
  <c r="M18" i="46" s="1"/>
  <c r="S23" i="46"/>
  <c r="T23" i="46" s="1"/>
  <c r="N6" i="48"/>
  <c r="M6" i="48" s="1"/>
  <c r="N14" i="48"/>
  <c r="M14" i="48" s="1"/>
  <c r="S5" i="48"/>
  <c r="T5" i="48" s="1"/>
  <c r="S6" i="48"/>
  <c r="T6" i="48" s="1"/>
  <c r="S3" i="48"/>
  <c r="T3" i="48" s="1"/>
  <c r="N7" i="48"/>
  <c r="M7" i="48" s="1"/>
  <c r="S12" i="48"/>
  <c r="T12" i="48" s="1"/>
  <c r="S14" i="48"/>
  <c r="T14" i="48" s="1"/>
  <c r="S16" i="48"/>
  <c r="T16" i="48" s="1"/>
  <c r="S4" i="48"/>
  <c r="T4" i="48" s="1"/>
  <c r="S11" i="47"/>
  <c r="T11" i="47" s="1"/>
  <c r="N10" i="47"/>
  <c r="M10" i="47" s="1"/>
  <c r="S5" i="47"/>
  <c r="T5" i="47" s="1"/>
  <c r="S9" i="47"/>
  <c r="T9" i="47" s="1"/>
  <c r="S6" i="47"/>
  <c r="T6" i="47" s="1"/>
  <c r="S10" i="47"/>
  <c r="T10" i="47" s="1"/>
  <c r="S3" i="47"/>
  <c r="T3" i="47" s="1"/>
  <c r="S7" i="47"/>
  <c r="T7" i="47" s="1"/>
  <c r="S4" i="47"/>
  <c r="T4" i="47" s="1"/>
  <c r="S8" i="47"/>
  <c r="T8" i="47" s="1"/>
  <c r="M5" i="47"/>
  <c r="M2" i="47"/>
  <c r="N3" i="47"/>
  <c r="M3" i="47" s="1"/>
  <c r="M6" i="47"/>
  <c r="N7" i="47"/>
  <c r="M7" i="47" s="1"/>
  <c r="N11" i="47"/>
  <c r="M11" i="47" s="1"/>
  <c r="S22" i="46"/>
  <c r="T22" i="46" s="1"/>
  <c r="S3" i="46"/>
  <c r="T3" i="46" s="1"/>
  <c r="S13" i="46"/>
  <c r="T13" i="46" s="1"/>
  <c r="N23" i="46"/>
  <c r="M23" i="46" s="1"/>
  <c r="N8" i="46"/>
  <c r="M8" i="46" s="1"/>
  <c r="S11" i="46"/>
  <c r="T11" i="46" s="1"/>
  <c r="N21" i="46"/>
  <c r="M21" i="46" s="1"/>
  <c r="N22" i="46"/>
  <c r="M22" i="46" s="1"/>
  <c r="S19" i="46"/>
  <c r="T19" i="46" s="1"/>
  <c r="S13" i="45"/>
  <c r="T13" i="45" s="1"/>
  <c r="S15" i="45"/>
  <c r="T15" i="45" s="1"/>
  <c r="S16" i="45"/>
  <c r="T16" i="45" s="1"/>
  <c r="S14" i="45"/>
  <c r="T14" i="45" s="1"/>
  <c r="N13" i="45"/>
  <c r="M13" i="45" s="1"/>
  <c r="M12" i="45"/>
  <c r="S11" i="45"/>
  <c r="T11" i="45" s="1"/>
  <c r="S9" i="45"/>
  <c r="T9" i="45" s="1"/>
  <c r="N4" i="45"/>
  <c r="M4" i="45" s="1"/>
  <c r="N3" i="45"/>
  <c r="M3" i="45" s="1"/>
  <c r="S3" i="45"/>
  <c r="T3" i="45" s="1"/>
  <c r="N5" i="45"/>
  <c r="M5" i="45" s="1"/>
  <c r="N9" i="45"/>
  <c r="M9" i="45" s="1"/>
  <c r="N15" i="45"/>
  <c r="M15" i="45" s="1"/>
  <c r="N15" i="41"/>
  <c r="M15" i="41" s="1"/>
  <c r="S46" i="42"/>
  <c r="T46" i="42" s="1"/>
  <c r="S3" i="42"/>
  <c r="T3" i="42" s="1"/>
  <c r="S12" i="42"/>
  <c r="T12" i="42" s="1"/>
  <c r="S37" i="42"/>
  <c r="T37" i="42" s="1"/>
  <c r="S5" i="42"/>
  <c r="T5" i="42" s="1"/>
  <c r="S18" i="42"/>
  <c r="T18" i="42" s="1"/>
  <c r="S32" i="42"/>
  <c r="T32" i="42" s="1"/>
  <c r="S42" i="42"/>
  <c r="T42" i="42" s="1"/>
  <c r="S9" i="42"/>
  <c r="T9" i="42" s="1"/>
  <c r="N26" i="42"/>
  <c r="M26" i="42" s="1"/>
  <c r="S26" i="42"/>
  <c r="T26" i="42" s="1"/>
  <c r="M40" i="42"/>
  <c r="M9" i="42"/>
  <c r="M12" i="42"/>
  <c r="M37" i="42"/>
  <c r="M18" i="42"/>
  <c r="N6" i="42"/>
  <c r="N45" i="42"/>
  <c r="N8" i="42"/>
  <c r="M8" i="42" s="1"/>
  <c r="N27" i="42"/>
  <c r="M27" i="42" s="1"/>
  <c r="M7" i="42"/>
  <c r="M13" i="42"/>
  <c r="N19" i="42"/>
  <c r="M19" i="42" s="1"/>
  <c r="M22" i="42"/>
  <c r="M33" i="42"/>
  <c r="N41" i="42"/>
  <c r="M41" i="42" s="1"/>
  <c r="S16" i="41"/>
  <c r="T16" i="41" s="1"/>
  <c r="S14" i="41"/>
  <c r="T14" i="41" s="1"/>
  <c r="S24" i="41"/>
  <c r="T24" i="41" s="1"/>
  <c r="S15" i="41"/>
  <c r="T15" i="41" s="1"/>
  <c r="S23" i="41"/>
  <c r="T23" i="41" s="1"/>
  <c r="S27" i="41"/>
  <c r="T27" i="41" s="1"/>
  <c r="S35" i="41"/>
  <c r="T35" i="41" s="1"/>
  <c r="N24" i="41"/>
  <c r="M24" i="41" s="1"/>
  <c r="N29" i="41"/>
  <c r="M29" i="41" s="1"/>
  <c r="S39" i="41"/>
  <c r="T39" i="41" s="1"/>
  <c r="S20" i="41"/>
  <c r="T20" i="41" s="1"/>
  <c r="S4" i="41"/>
  <c r="T4" i="41" s="1"/>
  <c r="N37" i="41"/>
  <c r="M37" i="41" s="1"/>
  <c r="S37" i="41"/>
  <c r="T37" i="41" s="1"/>
  <c r="S22" i="41"/>
  <c r="T22" i="41" s="1"/>
  <c r="N22" i="41"/>
  <c r="M22" i="41" s="1"/>
  <c r="S28" i="41"/>
  <c r="T28" i="41" s="1"/>
  <c r="N28" i="41"/>
  <c r="M28" i="41" s="1"/>
  <c r="N25" i="41"/>
  <c r="M25" i="41" s="1"/>
  <c r="N30" i="41"/>
  <c r="M30" i="41" s="1"/>
  <c r="S30" i="41"/>
  <c r="T30" i="41" s="1"/>
  <c r="N32" i="41"/>
  <c r="M32" i="41" s="1"/>
  <c r="S32" i="41"/>
  <c r="T32" i="41" s="1"/>
  <c r="N36" i="41"/>
  <c r="M36" i="41" s="1"/>
  <c r="S36" i="41"/>
  <c r="T36" i="41" s="1"/>
  <c r="N38" i="41"/>
  <c r="M38" i="41" s="1"/>
  <c r="S38" i="41"/>
  <c r="T38" i="41" s="1"/>
  <c r="N4" i="41"/>
  <c r="M4" i="41" s="1"/>
  <c r="N8" i="41"/>
  <c r="M8" i="41" s="1"/>
  <c r="N10" i="41"/>
  <c r="M10" i="41" s="1"/>
  <c r="N12" i="41"/>
  <c r="M12" i="41" s="1"/>
  <c r="N14" i="41"/>
  <c r="M14" i="41" s="1"/>
  <c r="N16" i="41"/>
  <c r="M16" i="41" s="1"/>
  <c r="N20" i="41"/>
  <c r="M20" i="41" s="1"/>
  <c r="N5" i="40"/>
  <c r="M5" i="40" s="1"/>
  <c r="N6" i="40"/>
  <c r="M6" i="40" s="1"/>
  <c r="N10" i="40"/>
  <c r="M10" i="40" s="1"/>
  <c r="N14" i="40"/>
  <c r="M14" i="40" s="1"/>
  <c r="N15" i="40"/>
  <c r="M15" i="40" s="1"/>
  <c r="N23" i="40"/>
  <c r="M23" i="40" s="1"/>
  <c r="N24" i="40"/>
  <c r="M24" i="40" s="1"/>
  <c r="N25" i="40"/>
  <c r="M25" i="40" s="1"/>
  <c r="N28" i="40"/>
  <c r="M28" i="40" s="1"/>
  <c r="S28" i="40"/>
  <c r="T28" i="40" s="1"/>
  <c r="N29" i="40"/>
  <c r="M29" i="40" s="1"/>
  <c r="N33" i="40"/>
  <c r="M33" i="40" s="1"/>
  <c r="N40" i="40"/>
  <c r="M40" i="40" s="1"/>
  <c r="N26" i="40"/>
  <c r="M26" i="40" s="1"/>
  <c r="N4" i="28"/>
  <c r="M4" i="28" s="1"/>
  <c r="I41" i="39"/>
  <c r="S41" i="39" s="1"/>
  <c r="T41" i="39" s="1"/>
  <c r="F41" i="39"/>
  <c r="I39" i="39"/>
  <c r="S39" i="39" s="1"/>
  <c r="T39" i="39" s="1"/>
  <c r="F39" i="39"/>
  <c r="I37" i="39"/>
  <c r="S37" i="39" s="1"/>
  <c r="T37" i="39" s="1"/>
  <c r="F37" i="39"/>
  <c r="I33" i="39"/>
  <c r="S33" i="39" s="1"/>
  <c r="T33" i="39" s="1"/>
  <c r="F33" i="39"/>
  <c r="I31" i="39"/>
  <c r="S31" i="39" s="1"/>
  <c r="T31" i="39" s="1"/>
  <c r="F31" i="39"/>
  <c r="I29" i="39"/>
  <c r="S29" i="39" s="1"/>
  <c r="T29" i="39" s="1"/>
  <c r="F29" i="39"/>
  <c r="I27" i="39"/>
  <c r="S27" i="39" s="1"/>
  <c r="T27" i="39" s="1"/>
  <c r="F27" i="39"/>
  <c r="I23" i="39"/>
  <c r="S23" i="39" s="1"/>
  <c r="T23" i="39" s="1"/>
  <c r="F23" i="39"/>
  <c r="I21" i="39"/>
  <c r="S21" i="39" s="1"/>
  <c r="T21" i="39" s="1"/>
  <c r="F21" i="39"/>
  <c r="I19" i="39"/>
  <c r="S19" i="39" s="1"/>
  <c r="T19" i="39" s="1"/>
  <c r="F19" i="39"/>
  <c r="I15" i="39"/>
  <c r="S15" i="39" s="1"/>
  <c r="T15" i="39" s="1"/>
  <c r="F15" i="39"/>
  <c r="I8" i="39"/>
  <c r="S8" i="39" s="1"/>
  <c r="T8" i="39" s="1"/>
  <c r="F8" i="39"/>
  <c r="I6" i="39"/>
  <c r="S6" i="39" s="1"/>
  <c r="T6" i="39" s="1"/>
  <c r="F6" i="39"/>
  <c r="I4" i="39"/>
  <c r="F4" i="39"/>
  <c r="L4" i="39"/>
  <c r="P4" i="39"/>
  <c r="N4" i="39" s="1"/>
  <c r="V4" i="39"/>
  <c r="W4" i="39"/>
  <c r="I44" i="39"/>
  <c r="S44" i="39" s="1"/>
  <c r="T44" i="39" s="1"/>
  <c r="I43" i="39"/>
  <c r="S43" i="39" s="1"/>
  <c r="T43" i="39" s="1"/>
  <c r="S36" i="39"/>
  <c r="T36" i="39" s="1"/>
  <c r="S32" i="39"/>
  <c r="T32" i="39" s="1"/>
  <c r="I26" i="39"/>
  <c r="H26" i="39"/>
  <c r="P26" i="39" s="1"/>
  <c r="I25" i="39"/>
  <c r="S25" i="39" s="1"/>
  <c r="T25" i="39" s="1"/>
  <c r="I24" i="39"/>
  <c r="S24" i="39" s="1"/>
  <c r="T24" i="39" s="1"/>
  <c r="I22" i="39"/>
  <c r="H22" i="39"/>
  <c r="P22" i="39" s="1"/>
  <c r="I20" i="39"/>
  <c r="S20" i="39" s="1"/>
  <c r="T20" i="39" s="1"/>
  <c r="I18" i="39"/>
  <c r="S18" i="39" s="1"/>
  <c r="T18" i="39" s="1"/>
  <c r="S14" i="39"/>
  <c r="T14" i="39" s="1"/>
  <c r="I7" i="39"/>
  <c r="S7" i="39" s="1"/>
  <c r="T7" i="39" s="1"/>
  <c r="W5" i="39"/>
  <c r="V5" i="39"/>
  <c r="P5" i="39"/>
  <c r="N5" i="39" s="1"/>
  <c r="L5" i="39"/>
  <c r="I5" i="39"/>
  <c r="W3" i="39"/>
  <c r="V3" i="39"/>
  <c r="P3" i="39"/>
  <c r="N3" i="39" s="1"/>
  <c r="M3" i="39" s="1"/>
  <c r="L3" i="39"/>
  <c r="I3" i="39"/>
  <c r="W2" i="39"/>
  <c r="V2" i="39"/>
  <c r="P2" i="39"/>
  <c r="N2" i="39" s="1"/>
  <c r="M2" i="39" s="1"/>
  <c r="L2" i="39"/>
  <c r="I2" i="38"/>
  <c r="W14" i="38"/>
  <c r="V14" i="38"/>
  <c r="P14" i="38"/>
  <c r="L14" i="38"/>
  <c r="W12" i="38"/>
  <c r="V12" i="38"/>
  <c r="P12" i="38"/>
  <c r="N12" i="38" s="1"/>
  <c r="M12" i="38" s="1"/>
  <c r="L12" i="38"/>
  <c r="W11" i="38"/>
  <c r="V11" i="38"/>
  <c r="P11" i="38"/>
  <c r="N11" i="38" s="1"/>
  <c r="M11" i="38" s="1"/>
  <c r="L11" i="38"/>
  <c r="W8" i="38"/>
  <c r="V8" i="38"/>
  <c r="P8" i="38"/>
  <c r="L8" i="38"/>
  <c r="W7" i="38"/>
  <c r="V7" i="38"/>
  <c r="P7" i="38"/>
  <c r="N7" i="38" s="1"/>
  <c r="M7" i="38" s="1"/>
  <c r="L7" i="38"/>
  <c r="W6" i="38"/>
  <c r="V6" i="38"/>
  <c r="P6" i="38"/>
  <c r="L6" i="38"/>
  <c r="W4" i="38"/>
  <c r="V4" i="38"/>
  <c r="P4" i="38"/>
  <c r="S4" i="38" s="1"/>
  <c r="T4" i="38" s="1"/>
  <c r="L4" i="38"/>
  <c r="W2" i="38"/>
  <c r="V2" i="38"/>
  <c r="P2" i="38"/>
  <c r="N2" i="38" s="1"/>
  <c r="M2" i="38" s="1"/>
  <c r="L2" i="38"/>
  <c r="N4" i="38" l="1"/>
  <c r="M4" i="38" s="1"/>
  <c r="S5" i="39"/>
  <c r="T5" i="39" s="1"/>
  <c r="N22" i="39"/>
  <c r="M22" i="39" s="1"/>
  <c r="N26" i="39"/>
  <c r="M26" i="39" s="1"/>
  <c r="S22" i="39"/>
  <c r="T22" i="39" s="1"/>
  <c r="S26" i="39"/>
  <c r="T26" i="39" s="1"/>
  <c r="S3" i="39"/>
  <c r="T3" i="39" s="1"/>
  <c r="S4" i="39"/>
  <c r="T4" i="39" s="1"/>
  <c r="N8" i="38"/>
  <c r="M8" i="38" s="1"/>
  <c r="M9" i="41"/>
  <c r="M45" i="42"/>
  <c r="M6" i="42"/>
  <c r="M4" i="39"/>
  <c r="M5" i="39"/>
  <c r="S2" i="39"/>
  <c r="T2" i="39" s="1"/>
  <c r="S11" i="38"/>
  <c r="T11" i="38" s="1"/>
  <c r="S8" i="38"/>
  <c r="T8" i="38" s="1"/>
  <c r="S6" i="38"/>
  <c r="T6" i="38" s="1"/>
  <c r="N6" i="38"/>
  <c r="M6" i="38" s="1"/>
  <c r="N14" i="38"/>
  <c r="M14" i="38" s="1"/>
  <c r="S7" i="38"/>
  <c r="T7" i="38" s="1"/>
  <c r="S14" i="38"/>
  <c r="T14" i="38" s="1"/>
  <c r="S2" i="38"/>
  <c r="T2" i="38" s="1"/>
  <c r="S12" i="38"/>
  <c r="T12" i="38" s="1"/>
  <c r="I2" i="37"/>
  <c r="W4" i="37"/>
  <c r="V4" i="37"/>
  <c r="P4" i="37"/>
  <c r="L4" i="37"/>
  <c r="W3" i="37"/>
  <c r="V3" i="37"/>
  <c r="P3" i="37"/>
  <c r="L3" i="37"/>
  <c r="W2" i="37"/>
  <c r="V2" i="37"/>
  <c r="P2" i="37"/>
  <c r="L2" i="37"/>
  <c r="L20" i="36"/>
  <c r="P20" i="36"/>
  <c r="V20" i="36"/>
  <c r="W20" i="36"/>
  <c r="W17" i="36"/>
  <c r="V17" i="36"/>
  <c r="P17" i="36"/>
  <c r="N17" i="36" s="1"/>
  <c r="M17" i="36" s="1"/>
  <c r="L17" i="36"/>
  <c r="W16" i="36"/>
  <c r="V16" i="36"/>
  <c r="P16" i="36"/>
  <c r="N16" i="36" s="1"/>
  <c r="M16" i="36" s="1"/>
  <c r="L16" i="36"/>
  <c r="W14" i="36"/>
  <c r="V14" i="36"/>
  <c r="P14" i="36"/>
  <c r="L14" i="36"/>
  <c r="W13" i="36"/>
  <c r="V13" i="36"/>
  <c r="P13" i="36"/>
  <c r="N13" i="36" s="1"/>
  <c r="M13" i="36" s="1"/>
  <c r="L13" i="36"/>
  <c r="W12" i="36"/>
  <c r="V12" i="36"/>
  <c r="P12" i="36"/>
  <c r="N12" i="36" s="1"/>
  <c r="M12" i="36" s="1"/>
  <c r="L12" i="36"/>
  <c r="W11" i="36"/>
  <c r="V11" i="36"/>
  <c r="P11" i="36"/>
  <c r="N11" i="36" s="1"/>
  <c r="M11" i="36" s="1"/>
  <c r="L11" i="36"/>
  <c r="W10" i="36"/>
  <c r="V10" i="36"/>
  <c r="P10" i="36"/>
  <c r="N10" i="36" s="1"/>
  <c r="M10" i="36" s="1"/>
  <c r="L10" i="36"/>
  <c r="W8" i="36"/>
  <c r="V8" i="36"/>
  <c r="P8" i="36"/>
  <c r="L8" i="36"/>
  <c r="W7" i="36"/>
  <c r="V7" i="36"/>
  <c r="P7" i="36"/>
  <c r="S7" i="36" s="1"/>
  <c r="T7" i="36" s="1"/>
  <c r="L7" i="36"/>
  <c r="W3" i="36"/>
  <c r="V3" i="36"/>
  <c r="P3" i="36"/>
  <c r="L3" i="36"/>
  <c r="W2" i="36"/>
  <c r="V2" i="36"/>
  <c r="P2" i="36"/>
  <c r="L2" i="36"/>
  <c r="S14" i="36" l="1"/>
  <c r="T14" i="36" s="1"/>
  <c r="S8" i="36"/>
  <c r="T8" i="36" s="1"/>
  <c r="N14" i="36"/>
  <c r="M14" i="36" s="1"/>
  <c r="N3" i="37"/>
  <c r="M3" i="37" s="1"/>
  <c r="N4" i="37"/>
  <c r="M4" i="37" s="1"/>
  <c r="S4" i="37"/>
  <c r="T4" i="37" s="1"/>
  <c r="S2" i="37"/>
  <c r="T2" i="37" s="1"/>
  <c r="N2" i="37"/>
  <c r="M2" i="37" s="1"/>
  <c r="S3" i="37"/>
  <c r="T3" i="37" s="1"/>
  <c r="S16" i="36"/>
  <c r="T16" i="36" s="1"/>
  <c r="S12" i="36"/>
  <c r="T12" i="36" s="1"/>
  <c r="S2" i="36"/>
  <c r="T2" i="36" s="1"/>
  <c r="N8" i="36"/>
  <c r="M8" i="36" s="1"/>
  <c r="S10" i="36"/>
  <c r="T10" i="36" s="1"/>
  <c r="S17" i="36"/>
  <c r="T17" i="36" s="1"/>
  <c r="N20" i="36"/>
  <c r="M20" i="36" s="1"/>
  <c r="S20" i="36"/>
  <c r="T20" i="36" s="1"/>
  <c r="S11" i="36"/>
  <c r="T11" i="36" s="1"/>
  <c r="N2" i="36"/>
  <c r="M2" i="36" s="1"/>
  <c r="N3" i="36"/>
  <c r="M3" i="36" s="1"/>
  <c r="N7" i="36"/>
  <c r="M7" i="36" s="1"/>
  <c r="S3" i="36"/>
  <c r="T3" i="36" s="1"/>
  <c r="S13" i="36"/>
  <c r="T13" i="36" s="1"/>
  <c r="P3" i="28"/>
  <c r="P5" i="28"/>
  <c r="P7" i="28"/>
  <c r="N7" i="28" s="1"/>
  <c r="P8" i="28"/>
  <c r="N8" i="28" s="1"/>
  <c r="P9" i="28"/>
  <c r="N9" i="28" s="1"/>
  <c r="P14" i="28"/>
  <c r="N14" i="28" s="1"/>
  <c r="P15" i="28"/>
  <c r="N15" i="28" s="1"/>
  <c r="P17" i="28"/>
  <c r="N17" i="28" s="1"/>
  <c r="P19" i="28"/>
  <c r="P20" i="28"/>
  <c r="N20" i="28" s="1"/>
  <c r="P21" i="28"/>
  <c r="N21" i="28" s="1"/>
  <c r="P24" i="28"/>
  <c r="N24" i="28" s="1"/>
  <c r="P25" i="28"/>
  <c r="N25" i="28" s="1"/>
  <c r="P26" i="28"/>
  <c r="N26" i="28" s="1"/>
  <c r="P27" i="28"/>
  <c r="P28" i="28"/>
  <c r="N28" i="28" s="1"/>
  <c r="P29" i="28"/>
  <c r="N29" i="28" s="1"/>
  <c r="P30" i="28"/>
  <c r="N30" i="28" s="1"/>
  <c r="P32" i="28"/>
  <c r="P34" i="28"/>
  <c r="N34" i="28" s="1"/>
  <c r="P36" i="28"/>
  <c r="N36" i="28" s="1"/>
  <c r="P38" i="28"/>
  <c r="N38" i="28" s="1"/>
  <c r="P39" i="28"/>
  <c r="N3" i="28"/>
  <c r="B3" i="14"/>
  <c r="Q5" i="37" l="1"/>
  <c r="R5" i="37" s="1"/>
  <c r="Q3" i="38"/>
  <c r="R3" i="38" s="1"/>
  <c r="Q6" i="37"/>
  <c r="R6" i="37" s="1"/>
  <c r="Q4" i="33"/>
  <c r="R4" i="33" s="1"/>
  <c r="Q5" i="29"/>
  <c r="R5" i="29" s="1"/>
  <c r="Q3" i="29"/>
  <c r="R3" i="29" s="1"/>
  <c r="Q27" i="29"/>
  <c r="R27" i="29" s="1"/>
  <c r="Q29" i="29"/>
  <c r="R29" i="29" s="1"/>
  <c r="Q31" i="29"/>
  <c r="R31" i="29" s="1"/>
  <c r="Q44" i="29"/>
  <c r="R44" i="29" s="1"/>
  <c r="Q46" i="29"/>
  <c r="R46" i="29" s="1"/>
  <c r="Q41" i="29"/>
  <c r="R41" i="29" s="1"/>
  <c r="Q10" i="29"/>
  <c r="R10" i="29" s="1"/>
  <c r="Q42" i="39"/>
  <c r="R42" i="39" s="1"/>
  <c r="Q32" i="39"/>
  <c r="R32" i="39" s="1"/>
  <c r="Q28" i="29"/>
  <c r="R28" i="29" s="1"/>
  <c r="Q19" i="29"/>
  <c r="R19" i="29" s="1"/>
  <c r="Q9" i="39"/>
  <c r="R9" i="39" s="1"/>
  <c r="Q25" i="39"/>
  <c r="R25" i="39" s="1"/>
  <c r="Q14" i="39"/>
  <c r="R14" i="39" s="1"/>
  <c r="Q11" i="29"/>
  <c r="R11" i="29" s="1"/>
  <c r="Q45" i="29"/>
  <c r="R45" i="29" s="1"/>
  <c r="Q14" i="29"/>
  <c r="R14" i="29" s="1"/>
  <c r="Q21" i="29"/>
  <c r="R21" i="29" s="1"/>
  <c r="Q9" i="29"/>
  <c r="R9" i="29" s="1"/>
  <c r="Q41" i="39"/>
  <c r="R41" i="39" s="1"/>
  <c r="Q30" i="39"/>
  <c r="R30" i="39" s="1"/>
  <c r="Q24" i="29"/>
  <c r="R24" i="29" s="1"/>
  <c r="Q40" i="39"/>
  <c r="R40" i="39" s="1"/>
  <c r="Q44" i="39"/>
  <c r="R44" i="39" s="1"/>
  <c r="Q39" i="39"/>
  <c r="R39" i="39" s="1"/>
  <c r="Q29" i="39"/>
  <c r="R29" i="39" s="1"/>
  <c r="Q19" i="39"/>
  <c r="R19" i="39" s="1"/>
  <c r="Q39" i="29"/>
  <c r="R39" i="29" s="1"/>
  <c r="Q30" i="29"/>
  <c r="R30" i="29" s="1"/>
  <c r="Q18" i="29"/>
  <c r="R18" i="29" s="1"/>
  <c r="Q36" i="29"/>
  <c r="R36" i="29" s="1"/>
  <c r="Q32" i="29"/>
  <c r="R32" i="29" s="1"/>
  <c r="Q36" i="39"/>
  <c r="R36" i="39" s="1"/>
  <c r="Q28" i="39"/>
  <c r="R28" i="39" s="1"/>
  <c r="Q23" i="29"/>
  <c r="R23" i="29" s="1"/>
  <c r="Q38" i="39"/>
  <c r="R38" i="39" s="1"/>
  <c r="Q18" i="39"/>
  <c r="R18" i="39" s="1"/>
  <c r="Q25" i="29"/>
  <c r="R25" i="29" s="1"/>
  <c r="Q24" i="39"/>
  <c r="R24" i="39" s="1"/>
  <c r="Q33" i="39"/>
  <c r="R33" i="39" s="1"/>
  <c r="Q6" i="29"/>
  <c r="R6" i="29" s="1"/>
  <c r="Q20" i="29"/>
  <c r="R20" i="29" s="1"/>
  <c r="Q11" i="39"/>
  <c r="R11" i="39" s="1"/>
  <c r="Q21" i="39"/>
  <c r="R21" i="39" s="1"/>
  <c r="Q34" i="29"/>
  <c r="R34" i="29" s="1"/>
  <c r="Q12" i="29"/>
  <c r="R12" i="29" s="1"/>
  <c r="Q4" i="29"/>
  <c r="R4" i="29" s="1"/>
  <c r="Q47" i="29"/>
  <c r="R47" i="29" s="1"/>
  <c r="Q8" i="29"/>
  <c r="R8" i="29" s="1"/>
  <c r="Q7" i="29"/>
  <c r="R7" i="29" s="1"/>
  <c r="Q20" i="39"/>
  <c r="R20" i="39" s="1"/>
  <c r="Q42" i="29"/>
  <c r="R42" i="29" s="1"/>
  <c r="Q38" i="29"/>
  <c r="R38" i="29" s="1"/>
  <c r="Q8" i="39"/>
  <c r="R8" i="39" s="1"/>
  <c r="Q7" i="39"/>
  <c r="R7" i="39" s="1"/>
  <c r="Q10" i="39"/>
  <c r="R10" i="39" s="1"/>
  <c r="Q37" i="39"/>
  <c r="R37" i="39" s="1"/>
  <c r="Q23" i="39"/>
  <c r="R23" i="39" s="1"/>
  <c r="Q40" i="29"/>
  <c r="R40" i="29" s="1"/>
  <c r="Q33" i="29"/>
  <c r="R33" i="29" s="1"/>
  <c r="Q6" i="39"/>
  <c r="R6" i="39" s="1"/>
  <c r="Q43" i="39"/>
  <c r="R43" i="39" s="1"/>
  <c r="Q31" i="39"/>
  <c r="R31" i="39" s="1"/>
  <c r="Q27" i="39"/>
  <c r="R27" i="39" s="1"/>
  <c r="Q15" i="39"/>
  <c r="R15" i="39" s="1"/>
  <c r="Q16" i="29"/>
  <c r="R16" i="29" s="1"/>
  <c r="Q43" i="29"/>
  <c r="R43" i="29" s="1"/>
  <c r="Q26" i="39"/>
  <c r="R26" i="39" s="1"/>
  <c r="Q22" i="39"/>
  <c r="R22" i="39" s="1"/>
  <c r="Q39" i="28"/>
  <c r="Q32" i="28"/>
  <c r="N32" i="28"/>
  <c r="Q2" i="37"/>
  <c r="R2" i="37" s="1"/>
  <c r="Q21" i="28"/>
  <c r="R21" i="28" s="1"/>
  <c r="Q3" i="28"/>
  <c r="R3" i="28" s="1"/>
  <c r="Q34" i="28"/>
  <c r="R34" i="28" s="1"/>
  <c r="Q28" i="28"/>
  <c r="R28" i="28" s="1"/>
  <c r="S24" i="28"/>
  <c r="Q24" i="28"/>
  <c r="R24" i="28" s="1"/>
  <c r="Q14" i="28"/>
  <c r="R14" i="28" s="1"/>
  <c r="Q7" i="28"/>
  <c r="R7" i="28" s="1"/>
  <c r="Q2" i="36"/>
  <c r="R2" i="36" s="1"/>
  <c r="Q14" i="36"/>
  <c r="R14" i="36" s="1"/>
  <c r="Q29" i="50"/>
  <c r="R29" i="50" s="1"/>
  <c r="Q27" i="50"/>
  <c r="R27" i="50" s="1"/>
  <c r="Q18" i="50"/>
  <c r="R18" i="50" s="1"/>
  <c r="Q22" i="50"/>
  <c r="R22" i="50" s="1"/>
  <c r="Q2" i="51"/>
  <c r="R2" i="51" s="1"/>
  <c r="Q25" i="50"/>
  <c r="R25" i="50" s="1"/>
  <c r="Q35" i="51"/>
  <c r="R35" i="51" s="1"/>
  <c r="Q19" i="50"/>
  <c r="R19" i="50" s="1"/>
  <c r="Q21" i="50"/>
  <c r="R21" i="50" s="1"/>
  <c r="Q24" i="50"/>
  <c r="R24" i="50" s="1"/>
  <c r="Q36" i="51"/>
  <c r="R36" i="51" s="1"/>
  <c r="Q28" i="50"/>
  <c r="R28" i="50" s="1"/>
  <c r="Q20" i="50"/>
  <c r="R20" i="50" s="1"/>
  <c r="Q23" i="50"/>
  <c r="R23" i="50" s="1"/>
  <c r="Q17" i="50"/>
  <c r="R17" i="50" s="1"/>
  <c r="Q34" i="51"/>
  <c r="R34" i="51" s="1"/>
  <c r="Q2" i="49"/>
  <c r="R2" i="49" s="1"/>
  <c r="Q3" i="49"/>
  <c r="R3" i="49" s="1"/>
  <c r="Q3" i="50"/>
  <c r="R3" i="50" s="1"/>
  <c r="Q5" i="50"/>
  <c r="R5" i="50" s="1"/>
  <c r="Q15" i="49"/>
  <c r="R15" i="49" s="1"/>
  <c r="Q12" i="49"/>
  <c r="R12" i="49" s="1"/>
  <c r="Q4" i="49"/>
  <c r="R4" i="49" s="1"/>
  <c r="Q15" i="50"/>
  <c r="R15" i="50" s="1"/>
  <c r="Q6" i="50"/>
  <c r="R6" i="50" s="1"/>
  <c r="Q14" i="49"/>
  <c r="R14" i="49" s="1"/>
  <c r="Q8" i="49"/>
  <c r="R8" i="49" s="1"/>
  <c r="Q5" i="49"/>
  <c r="R5" i="49" s="1"/>
  <c r="Q17" i="49"/>
  <c r="R17" i="49" s="1"/>
  <c r="Q10" i="45"/>
  <c r="R10" i="45" s="1"/>
  <c r="Q22" i="42"/>
  <c r="R22" i="42" s="1"/>
  <c r="Q4" i="50"/>
  <c r="R4" i="50" s="1"/>
  <c r="Q9" i="49"/>
  <c r="R9" i="49" s="1"/>
  <c r="Q10" i="50"/>
  <c r="R10" i="50" s="1"/>
  <c r="Q11" i="50"/>
  <c r="R11" i="50" s="1"/>
  <c r="Q2" i="50"/>
  <c r="R2" i="50" s="1"/>
  <c r="Q16" i="50"/>
  <c r="R16" i="50" s="1"/>
  <c r="Q19" i="49"/>
  <c r="R19" i="49" s="1"/>
  <c r="Q13" i="49"/>
  <c r="R13" i="49" s="1"/>
  <c r="Q10" i="49"/>
  <c r="R10" i="49" s="1"/>
  <c r="Q8" i="50"/>
  <c r="R8" i="50" s="1"/>
  <c r="Q6" i="49"/>
  <c r="R6" i="49" s="1"/>
  <c r="Q16" i="49"/>
  <c r="R16" i="49" s="1"/>
  <c r="Q14" i="46"/>
  <c r="R14" i="46" s="1"/>
  <c r="Q13" i="40"/>
  <c r="R13" i="40" s="1"/>
  <c r="Q15" i="46"/>
  <c r="R15" i="46" s="1"/>
  <c r="Q40" i="42"/>
  <c r="R40" i="42" s="1"/>
  <c r="Q17" i="40"/>
  <c r="R17" i="40" s="1"/>
  <c r="Q11" i="49"/>
  <c r="R11" i="49" s="1"/>
  <c r="Q2" i="48"/>
  <c r="R2" i="48" s="1"/>
  <c r="Q2" i="47"/>
  <c r="R2" i="47" s="1"/>
  <c r="Q45" i="42"/>
  <c r="R45" i="42" s="1"/>
  <c r="Q14" i="41"/>
  <c r="R14" i="41" s="1"/>
  <c r="Q16" i="48"/>
  <c r="R16" i="48" s="1"/>
  <c r="Q14" i="50"/>
  <c r="R14" i="50" s="1"/>
  <c r="Q37" i="28"/>
  <c r="R37" i="28" s="1"/>
  <c r="Q33" i="28"/>
  <c r="R33" i="28" s="1"/>
  <c r="Q3" i="40"/>
  <c r="R3" i="40" s="1"/>
  <c r="Q16" i="28"/>
  <c r="R16" i="28" s="1"/>
  <c r="Q6" i="28"/>
  <c r="R6" i="28" s="1"/>
  <c r="Q7" i="49"/>
  <c r="R7" i="49" s="1"/>
  <c r="Q18" i="49"/>
  <c r="R18" i="49" s="1"/>
  <c r="Q30" i="40"/>
  <c r="R30" i="40" s="1"/>
  <c r="Q7" i="41"/>
  <c r="R7" i="41" s="1"/>
  <c r="Q9" i="40"/>
  <c r="R9" i="40" s="1"/>
  <c r="Q7" i="40"/>
  <c r="R7" i="40" s="1"/>
  <c r="Q10" i="28"/>
  <c r="R10" i="28" s="1"/>
  <c r="Q16" i="40"/>
  <c r="R16" i="40" s="1"/>
  <c r="Q40" i="40"/>
  <c r="R40" i="40" s="1"/>
  <c r="Q29" i="40"/>
  <c r="R29" i="40" s="1"/>
  <c r="Q15" i="41"/>
  <c r="R15" i="41" s="1"/>
  <c r="Q3" i="47"/>
  <c r="R3" i="47" s="1"/>
  <c r="Q17" i="41"/>
  <c r="R17" i="41" s="1"/>
  <c r="Q9" i="45"/>
  <c r="R9" i="45" s="1"/>
  <c r="Q4" i="40"/>
  <c r="R4" i="40" s="1"/>
  <c r="Q11" i="40"/>
  <c r="R11" i="40" s="1"/>
  <c r="Q39" i="40"/>
  <c r="R39" i="40" s="1"/>
  <c r="Q26" i="41"/>
  <c r="R26" i="41" s="1"/>
  <c r="Q4" i="45"/>
  <c r="R4" i="45" s="1"/>
  <c r="Q13" i="41"/>
  <c r="R13" i="41" s="1"/>
  <c r="Q30" i="41"/>
  <c r="R30" i="41" s="1"/>
  <c r="Q14" i="45"/>
  <c r="R14" i="45" s="1"/>
  <c r="Q10" i="46"/>
  <c r="R10" i="46" s="1"/>
  <c r="Q8" i="41"/>
  <c r="R8" i="41" s="1"/>
  <c r="Q16" i="42"/>
  <c r="R16" i="42" s="1"/>
  <c r="Q9" i="48"/>
  <c r="R9" i="48" s="1"/>
  <c r="Q23" i="46"/>
  <c r="R23" i="46" s="1"/>
  <c r="Q3" i="48"/>
  <c r="R3" i="48" s="1"/>
  <c r="Q8" i="48"/>
  <c r="R8" i="48" s="1"/>
  <c r="Q5" i="47"/>
  <c r="R5" i="47" s="1"/>
  <c r="Q4" i="46"/>
  <c r="R4" i="46" s="1"/>
  <c r="Q11" i="45"/>
  <c r="R11" i="45" s="1"/>
  <c r="Q9" i="41"/>
  <c r="R9" i="41" s="1"/>
  <c r="Q23" i="28"/>
  <c r="R23" i="28" s="1"/>
  <c r="Q22" i="40"/>
  <c r="R22" i="40" s="1"/>
  <c r="Q38" i="40"/>
  <c r="R38" i="40" s="1"/>
  <c r="Q24" i="40"/>
  <c r="R24" i="40" s="1"/>
  <c r="Q37" i="41"/>
  <c r="R37" i="41" s="1"/>
  <c r="Q17" i="48"/>
  <c r="R17" i="48" s="1"/>
  <c r="Q41" i="40"/>
  <c r="R41" i="40" s="1"/>
  <c r="Q25" i="41"/>
  <c r="R25" i="41" s="1"/>
  <c r="Q15" i="45"/>
  <c r="R15" i="45" s="1"/>
  <c r="Q10" i="47"/>
  <c r="R10" i="47" s="1"/>
  <c r="Q18" i="28"/>
  <c r="R18" i="28" s="1"/>
  <c r="Q20" i="41"/>
  <c r="R20" i="41" s="1"/>
  <c r="Q8" i="46"/>
  <c r="R8" i="46" s="1"/>
  <c r="Q14" i="40"/>
  <c r="R14" i="40" s="1"/>
  <c r="Q27" i="41"/>
  <c r="R27" i="41" s="1"/>
  <c r="Q43" i="42"/>
  <c r="R43" i="42" s="1"/>
  <c r="Q18" i="45"/>
  <c r="R18" i="45" s="1"/>
  <c r="Q5" i="46"/>
  <c r="R5" i="46" s="1"/>
  <c r="Q13" i="48"/>
  <c r="R13" i="48" s="1"/>
  <c r="Q9" i="46"/>
  <c r="R9" i="46" s="1"/>
  <c r="Q7" i="48"/>
  <c r="R7" i="48" s="1"/>
  <c r="Q10" i="48"/>
  <c r="R10" i="48" s="1"/>
  <c r="Q12" i="48"/>
  <c r="R12" i="48" s="1"/>
  <c r="Q4" i="48"/>
  <c r="R4" i="48" s="1"/>
  <c r="Q13" i="46"/>
  <c r="R13" i="46" s="1"/>
  <c r="Q19" i="46"/>
  <c r="R19" i="46" s="1"/>
  <c r="Q16" i="45"/>
  <c r="R16" i="45" s="1"/>
  <c r="Q27" i="42"/>
  <c r="R27" i="42" s="1"/>
  <c r="Q18" i="42"/>
  <c r="R18" i="42" s="1"/>
  <c r="Q42" i="42"/>
  <c r="R42" i="42" s="1"/>
  <c r="Q12" i="42"/>
  <c r="R12" i="42" s="1"/>
  <c r="Q26" i="42"/>
  <c r="R26" i="42" s="1"/>
  <c r="Q32" i="42"/>
  <c r="R32" i="42" s="1"/>
  <c r="Q31" i="41"/>
  <c r="R31" i="41" s="1"/>
  <c r="Q20" i="40"/>
  <c r="R20" i="40" s="1"/>
  <c r="Q4" i="28"/>
  <c r="R4" i="28" s="1"/>
  <c r="Q36" i="40"/>
  <c r="R36" i="40" s="1"/>
  <c r="Q33" i="40"/>
  <c r="R33" i="40" s="1"/>
  <c r="Q16" i="41"/>
  <c r="R16" i="41" s="1"/>
  <c r="Q25" i="40"/>
  <c r="R25" i="40" s="1"/>
  <c r="Q2" i="41"/>
  <c r="R2" i="41" s="1"/>
  <c r="Q21" i="41"/>
  <c r="R21" i="41" s="1"/>
  <c r="Q38" i="41"/>
  <c r="R38" i="41" s="1"/>
  <c r="Q2" i="45"/>
  <c r="R2" i="45" s="1"/>
  <c r="Q17" i="46"/>
  <c r="R17" i="46" s="1"/>
  <c r="Q11" i="47"/>
  <c r="R11" i="47" s="1"/>
  <c r="Q2" i="46"/>
  <c r="R2" i="46" s="1"/>
  <c r="Q10" i="40"/>
  <c r="R10" i="40" s="1"/>
  <c r="Q28" i="40"/>
  <c r="R28" i="40" s="1"/>
  <c r="Q4" i="41"/>
  <c r="R4" i="41" s="1"/>
  <c r="Q32" i="41"/>
  <c r="R32" i="41" s="1"/>
  <c r="Q24" i="42"/>
  <c r="R24" i="42" s="1"/>
  <c r="Q7" i="46"/>
  <c r="R7" i="46" s="1"/>
  <c r="Q22" i="46"/>
  <c r="R22" i="46" s="1"/>
  <c r="Q3" i="45"/>
  <c r="R3" i="45" s="1"/>
  <c r="Q14" i="48"/>
  <c r="R14" i="48" s="1"/>
  <c r="Q15" i="48"/>
  <c r="R15" i="48" s="1"/>
  <c r="Q21" i="46"/>
  <c r="R21" i="46" s="1"/>
  <c r="Q3" i="46"/>
  <c r="R3" i="46" s="1"/>
  <c r="Q6" i="42"/>
  <c r="R6" i="42" s="1"/>
  <c r="Q46" i="42"/>
  <c r="R46" i="42" s="1"/>
  <c r="Q9" i="42"/>
  <c r="R9" i="42" s="1"/>
  <c r="Q2" i="42"/>
  <c r="R2" i="42" s="1"/>
  <c r="Q14" i="42"/>
  <c r="R14" i="42" s="1"/>
  <c r="Q29" i="41"/>
  <c r="R29" i="41" s="1"/>
  <c r="Q33" i="41"/>
  <c r="R33" i="41" s="1"/>
  <c r="Q35" i="40"/>
  <c r="R35" i="40" s="1"/>
  <c r="Q31" i="28"/>
  <c r="R31" i="28" s="1"/>
  <c r="Q23" i="40"/>
  <c r="R23" i="40" s="1"/>
  <c r="Q13" i="45"/>
  <c r="R13" i="45" s="1"/>
  <c r="Q12" i="45"/>
  <c r="R12" i="45" s="1"/>
  <c r="Q4" i="42"/>
  <c r="R4" i="42" s="1"/>
  <c r="Q6" i="48"/>
  <c r="R6" i="48" s="1"/>
  <c r="Q5" i="48"/>
  <c r="R5" i="48" s="1"/>
  <c r="Q12" i="46"/>
  <c r="R12" i="46" s="1"/>
  <c r="Q25" i="42"/>
  <c r="R25" i="42" s="1"/>
  <c r="Q3" i="42"/>
  <c r="R3" i="42" s="1"/>
  <c r="Q18" i="40"/>
  <c r="R18" i="40" s="1"/>
  <c r="Q13" i="42"/>
  <c r="R13" i="42" s="1"/>
  <c r="Q10" i="41"/>
  <c r="R10" i="41" s="1"/>
  <c r="Q11" i="48"/>
  <c r="R11" i="48" s="1"/>
  <c r="Q35" i="41"/>
  <c r="R35" i="41" s="1"/>
  <c r="Q19" i="40"/>
  <c r="R19" i="40" s="1"/>
  <c r="Q9" i="47"/>
  <c r="R9" i="47" s="1"/>
  <c r="Q8" i="40"/>
  <c r="R8" i="40" s="1"/>
  <c r="Q6" i="40"/>
  <c r="R6" i="40" s="1"/>
  <c r="Q8" i="47"/>
  <c r="R8" i="47" s="1"/>
  <c r="Q37" i="42"/>
  <c r="R37" i="42" s="1"/>
  <c r="Q5" i="42"/>
  <c r="R5" i="42" s="1"/>
  <c r="Q41" i="42"/>
  <c r="R41" i="42" s="1"/>
  <c r="Q12" i="41"/>
  <c r="R12" i="41" s="1"/>
  <c r="Q22" i="41"/>
  <c r="R22" i="41" s="1"/>
  <c r="Q21" i="40"/>
  <c r="R21" i="40" s="1"/>
  <c r="Q26" i="40"/>
  <c r="R26" i="40" s="1"/>
  <c r="Q15" i="40"/>
  <c r="R15" i="40" s="1"/>
  <c r="Q19" i="42"/>
  <c r="R19" i="42" s="1"/>
  <c r="Q28" i="41"/>
  <c r="R28" i="41" s="1"/>
  <c r="Q12" i="40"/>
  <c r="R12" i="40" s="1"/>
  <c r="Q34" i="40"/>
  <c r="R34" i="40" s="1"/>
  <c r="Q7" i="47"/>
  <c r="R7" i="47" s="1"/>
  <c r="Q37" i="40"/>
  <c r="R37" i="40" s="1"/>
  <c r="Q5" i="45"/>
  <c r="R5" i="45" s="1"/>
  <c r="Q6" i="46"/>
  <c r="R6" i="46" s="1"/>
  <c r="Q24" i="41"/>
  <c r="R24" i="41" s="1"/>
  <c r="Q18" i="46"/>
  <c r="R18" i="46" s="1"/>
  <c r="Q6" i="47"/>
  <c r="R6" i="47" s="1"/>
  <c r="Q4" i="47"/>
  <c r="R4" i="47" s="1"/>
  <c r="Q20" i="46"/>
  <c r="R20" i="46" s="1"/>
  <c r="Q11" i="46"/>
  <c r="R11" i="46" s="1"/>
  <c r="Q8" i="42"/>
  <c r="R8" i="42" s="1"/>
  <c r="Q23" i="42"/>
  <c r="R23" i="42" s="1"/>
  <c r="Q44" i="42"/>
  <c r="R44" i="42" s="1"/>
  <c r="Q23" i="41"/>
  <c r="R23" i="41" s="1"/>
  <c r="Q39" i="41"/>
  <c r="R39" i="41" s="1"/>
  <c r="Q27" i="40"/>
  <c r="R27" i="40" s="1"/>
  <c r="Q31" i="40"/>
  <c r="R31" i="40" s="1"/>
  <c r="Q5" i="40"/>
  <c r="R5" i="40" s="1"/>
  <c r="Q36" i="41"/>
  <c r="R36" i="41" s="1"/>
  <c r="Q16" i="46"/>
  <c r="R16" i="46" s="1"/>
  <c r="Q33" i="42"/>
  <c r="R33" i="42" s="1"/>
  <c r="Q7" i="42"/>
  <c r="R7" i="42" s="1"/>
  <c r="Q2" i="40"/>
  <c r="R2" i="40" s="1"/>
  <c r="Q7" i="38"/>
  <c r="R7" i="38" s="1"/>
  <c r="Q11" i="38"/>
  <c r="R11" i="38" s="1"/>
  <c r="Q8" i="38"/>
  <c r="R8" i="38" s="1"/>
  <c r="Q5" i="39"/>
  <c r="R5" i="39" s="1"/>
  <c r="Q2" i="39"/>
  <c r="R2" i="39" s="1"/>
  <c r="Q12" i="38"/>
  <c r="R12" i="38" s="1"/>
  <c r="Q3" i="39"/>
  <c r="R3" i="39" s="1"/>
  <c r="Q14" i="38"/>
  <c r="R14" i="38" s="1"/>
  <c r="Q4" i="39"/>
  <c r="R4" i="39" s="1"/>
  <c r="Q4" i="38"/>
  <c r="R4" i="38" s="1"/>
  <c r="Q2" i="38"/>
  <c r="R2" i="38" s="1"/>
  <c r="Q6" i="38"/>
  <c r="R6" i="38" s="1"/>
  <c r="Q4" i="37"/>
  <c r="R4" i="37" s="1"/>
  <c r="Q13" i="36"/>
  <c r="R13" i="36" s="1"/>
  <c r="Q17" i="36"/>
  <c r="R17" i="36" s="1"/>
  <c r="Q38" i="28"/>
  <c r="R38" i="28" s="1"/>
  <c r="Q3" i="37"/>
  <c r="R3" i="37" s="1"/>
  <c r="Q3" i="36"/>
  <c r="Q8" i="36"/>
  <c r="Q12" i="36"/>
  <c r="R12" i="36" s="1"/>
  <c r="Q7" i="36"/>
  <c r="R7" i="36" s="1"/>
  <c r="Q16" i="36"/>
  <c r="R16" i="36" s="1"/>
  <c r="N39" i="28"/>
  <c r="Q27" i="28"/>
  <c r="N27" i="28"/>
  <c r="Q19" i="28"/>
  <c r="N19" i="28"/>
  <c r="N5" i="28"/>
  <c r="Q5" i="28"/>
  <c r="Q11" i="36"/>
  <c r="R11" i="36" s="1"/>
  <c r="Q10" i="36"/>
  <c r="R10" i="36" s="1"/>
  <c r="Q20" i="36"/>
  <c r="R20" i="36" s="1"/>
  <c r="Q36" i="28"/>
  <c r="R36" i="28" s="1"/>
  <c r="Q29" i="28"/>
  <c r="R29" i="28" s="1"/>
  <c r="Q25" i="28"/>
  <c r="R25" i="28" s="1"/>
  <c r="Q20" i="28"/>
  <c r="R20" i="28" s="1"/>
  <c r="Q15" i="28"/>
  <c r="R15" i="28" s="1"/>
  <c r="Q8" i="28"/>
  <c r="R8" i="28" s="1"/>
  <c r="Q30" i="28"/>
  <c r="R30" i="28" s="1"/>
  <c r="Q26" i="28"/>
  <c r="R26" i="28" s="1"/>
  <c r="Q17" i="28"/>
  <c r="R17" i="28" s="1"/>
  <c r="Q9" i="28"/>
  <c r="R9" i="28" s="1"/>
  <c r="R32" i="28"/>
  <c r="R8" i="36"/>
  <c r="R3" i="36"/>
  <c r="S34" i="28"/>
  <c r="S36" i="28"/>
  <c r="S32" i="28"/>
  <c r="S25" i="28"/>
  <c r="S8" i="28"/>
  <c r="W14" i="33"/>
  <c r="V14" i="33"/>
  <c r="P14" i="33"/>
  <c r="L14" i="33"/>
  <c r="W13" i="33"/>
  <c r="V13" i="33"/>
  <c r="P13" i="33"/>
  <c r="L13" i="33"/>
  <c r="W12" i="33"/>
  <c r="V12" i="33"/>
  <c r="P12" i="33"/>
  <c r="L12" i="33"/>
  <c r="W11" i="33"/>
  <c r="V11" i="33"/>
  <c r="P11" i="33"/>
  <c r="L11" i="33"/>
  <c r="W10" i="33"/>
  <c r="V10" i="33"/>
  <c r="P10" i="33"/>
  <c r="L10" i="33"/>
  <c r="W9" i="33"/>
  <c r="V9" i="33"/>
  <c r="P9" i="33"/>
  <c r="L9" i="33"/>
  <c r="W8" i="33"/>
  <c r="V8" i="33"/>
  <c r="P8" i="33"/>
  <c r="L8" i="33"/>
  <c r="W7" i="33"/>
  <c r="V7" i="33"/>
  <c r="P7" i="33"/>
  <c r="L7" i="33"/>
  <c r="W6" i="33"/>
  <c r="V6" i="33"/>
  <c r="P6" i="33"/>
  <c r="L6" i="33"/>
  <c r="W5" i="33"/>
  <c r="V5" i="33"/>
  <c r="P5" i="33"/>
  <c r="L5" i="33"/>
  <c r="W3" i="33"/>
  <c r="V3" i="33"/>
  <c r="P3" i="33"/>
  <c r="L3" i="33"/>
  <c r="W2" i="33"/>
  <c r="V2" i="33"/>
  <c r="P2" i="33"/>
  <c r="L2" i="33"/>
  <c r="W14" i="32"/>
  <c r="V14" i="32"/>
  <c r="P14" i="32"/>
  <c r="L14" i="32"/>
  <c r="W2" i="32"/>
  <c r="V2" i="32"/>
  <c r="P2" i="32"/>
  <c r="L2" i="32"/>
  <c r="R27" i="28" l="1"/>
  <c r="R5" i="28"/>
  <c r="R19" i="28"/>
  <c r="R39" i="28"/>
  <c r="S2" i="32"/>
  <c r="T2" i="32" s="1"/>
  <c r="N2" i="32"/>
  <c r="M2" i="32" s="1"/>
  <c r="Q2" i="32"/>
  <c r="Q14" i="32"/>
  <c r="N14" i="32"/>
  <c r="M14" i="32" s="1"/>
  <c r="Q2" i="33"/>
  <c r="N2" i="33"/>
  <c r="M2" i="33" s="1"/>
  <c r="S3" i="33"/>
  <c r="T3" i="33" s="1"/>
  <c r="Q3" i="33"/>
  <c r="N3" i="33"/>
  <c r="M3" i="33" s="1"/>
  <c r="Q5" i="33"/>
  <c r="N5" i="33"/>
  <c r="M5" i="33" s="1"/>
  <c r="Q6" i="33"/>
  <c r="N6" i="33"/>
  <c r="M6" i="33" s="1"/>
  <c r="S7" i="33"/>
  <c r="T7" i="33" s="1"/>
  <c r="Q7" i="33"/>
  <c r="N7" i="33"/>
  <c r="Q8" i="33"/>
  <c r="N8" i="33"/>
  <c r="M8" i="33" s="1"/>
  <c r="S9" i="33"/>
  <c r="T9" i="33" s="1"/>
  <c r="Q9" i="33"/>
  <c r="N9" i="33"/>
  <c r="M9" i="33" s="1"/>
  <c r="S10" i="33"/>
  <c r="T10" i="33" s="1"/>
  <c r="Q10" i="33"/>
  <c r="N10" i="33"/>
  <c r="S11" i="33"/>
  <c r="T11" i="33" s="1"/>
  <c r="Q11" i="33"/>
  <c r="N11" i="33"/>
  <c r="S12" i="33"/>
  <c r="T12" i="33" s="1"/>
  <c r="Q12" i="33"/>
  <c r="N12" i="33"/>
  <c r="M12" i="33" s="1"/>
  <c r="S13" i="33"/>
  <c r="T13" i="33" s="1"/>
  <c r="Q13" i="33"/>
  <c r="N13" i="33"/>
  <c r="S14" i="33"/>
  <c r="T14" i="33" s="1"/>
  <c r="Q14" i="33"/>
  <c r="N14" i="33"/>
  <c r="S6" i="33"/>
  <c r="T6" i="33" s="1"/>
  <c r="S5" i="33"/>
  <c r="T5" i="33" s="1"/>
  <c r="S8" i="33"/>
  <c r="T8" i="33" s="1"/>
  <c r="S2" i="33"/>
  <c r="T2" i="33" s="1"/>
  <c r="S14" i="32"/>
  <c r="T14" i="32" s="1"/>
  <c r="I4" i="31"/>
  <c r="I3" i="31"/>
  <c r="I2" i="31"/>
  <c r="W4" i="31"/>
  <c r="V4" i="31"/>
  <c r="P4" i="31"/>
  <c r="L4" i="31"/>
  <c r="W3" i="31"/>
  <c r="V3" i="31"/>
  <c r="P3" i="31"/>
  <c r="L3" i="31"/>
  <c r="W2" i="31"/>
  <c r="V2" i="31"/>
  <c r="P2" i="31"/>
  <c r="L2" i="31"/>
  <c r="S10" i="29"/>
  <c r="T10" i="29" s="1"/>
  <c r="I47" i="29"/>
  <c r="S47" i="29" s="1"/>
  <c r="T47" i="29" s="1"/>
  <c r="I46" i="29"/>
  <c r="S46" i="29" s="1"/>
  <c r="T46" i="29" s="1"/>
  <c r="S38" i="29"/>
  <c r="T38" i="29" s="1"/>
  <c r="S36" i="29"/>
  <c r="T36" i="29" s="1"/>
  <c r="S32" i="29"/>
  <c r="T32" i="29" s="1"/>
  <c r="I26" i="29"/>
  <c r="H26" i="29"/>
  <c r="P26" i="29" s="1"/>
  <c r="I25" i="29"/>
  <c r="S25" i="29" s="1"/>
  <c r="T25" i="29" s="1"/>
  <c r="I24" i="29"/>
  <c r="S24" i="29" s="1"/>
  <c r="T24" i="29" s="1"/>
  <c r="I22" i="29"/>
  <c r="H22" i="29"/>
  <c r="P22" i="29" s="1"/>
  <c r="I20" i="29"/>
  <c r="S20" i="29" s="1"/>
  <c r="T20" i="29" s="1"/>
  <c r="I18" i="29"/>
  <c r="S18" i="29" s="1"/>
  <c r="T18" i="29" s="1"/>
  <c r="S14" i="29"/>
  <c r="T14" i="29" s="1"/>
  <c r="I7" i="29"/>
  <c r="S7" i="29" s="1"/>
  <c r="T7" i="29" s="1"/>
  <c r="I5" i="29"/>
  <c r="S5" i="29" s="1"/>
  <c r="T5" i="29" s="1"/>
  <c r="I3" i="29"/>
  <c r="S3" i="29" s="1"/>
  <c r="T3" i="29" s="1"/>
  <c r="W2" i="29"/>
  <c r="V2" i="29"/>
  <c r="P2" i="29"/>
  <c r="S2" i="29" s="1"/>
  <c r="T2" i="29" s="1"/>
  <c r="L2" i="29"/>
  <c r="R13" i="33" l="1"/>
  <c r="R6" i="33"/>
  <c r="R9" i="33"/>
  <c r="R11" i="33"/>
  <c r="R2" i="33"/>
  <c r="R2" i="32"/>
  <c r="N22" i="29"/>
  <c r="M22" i="29" s="1"/>
  <c r="Q22" i="29"/>
  <c r="N26" i="29"/>
  <c r="M26" i="29" s="1"/>
  <c r="Q26" i="29"/>
  <c r="S22" i="29"/>
  <c r="T22" i="29" s="1"/>
  <c r="S26" i="29"/>
  <c r="T26" i="29" s="1"/>
  <c r="Q2" i="29"/>
  <c r="N2" i="29"/>
  <c r="M2" i="29" s="1"/>
  <c r="R12" i="33"/>
  <c r="R8" i="33"/>
  <c r="R5" i="33"/>
  <c r="R3" i="33"/>
  <c r="R14" i="32"/>
  <c r="R14" i="33"/>
  <c r="R10" i="33"/>
  <c r="R7" i="33"/>
  <c r="N4" i="31"/>
  <c r="M4" i="31" s="1"/>
  <c r="Q4" i="31"/>
  <c r="N2" i="31"/>
  <c r="Q2" i="31"/>
  <c r="N3" i="31"/>
  <c r="M3" i="31" s="1"/>
  <c r="Q3" i="31"/>
  <c r="M10" i="33"/>
  <c r="M11" i="33"/>
  <c r="M13" i="33"/>
  <c r="M7" i="33"/>
  <c r="M14" i="33"/>
  <c r="S3" i="31"/>
  <c r="T3" i="31" s="1"/>
  <c r="S4" i="31"/>
  <c r="T4" i="31" s="1"/>
  <c r="S2" i="31"/>
  <c r="T2" i="31" s="1"/>
  <c r="I39" i="28"/>
  <c r="S39" i="28" s="1"/>
  <c r="S38" i="28"/>
  <c r="S30" i="28"/>
  <c r="S29" i="28"/>
  <c r="S28" i="28"/>
  <c r="S27" i="28"/>
  <c r="S26" i="28"/>
  <c r="R4" i="31" l="1"/>
  <c r="R22" i="29"/>
  <c r="R26" i="29"/>
  <c r="R2" i="31"/>
  <c r="R2" i="29"/>
  <c r="R3" i="31"/>
  <c r="M2" i="31"/>
  <c r="I22" i="28"/>
  <c r="H22" i="28"/>
  <c r="I21" i="28"/>
  <c r="S21" i="28" s="1"/>
  <c r="I20" i="28"/>
  <c r="S19" i="28"/>
  <c r="I17" i="28"/>
  <c r="S17" i="28" s="1"/>
  <c r="T17" i="28" s="1"/>
  <c r="S15" i="28"/>
  <c r="S14" i="28"/>
  <c r="S9" i="28"/>
  <c r="W8" i="28"/>
  <c r="V8" i="28"/>
  <c r="L8" i="28"/>
  <c r="W42" i="23"/>
  <c r="V42" i="23"/>
  <c r="P42" i="23"/>
  <c r="L42" i="23"/>
  <c r="S7" i="28"/>
  <c r="I5" i="28"/>
  <c r="S5" i="28" s="1"/>
  <c r="I3" i="28"/>
  <c r="S3" i="28" s="1"/>
  <c r="W39" i="28"/>
  <c r="V39" i="28"/>
  <c r="L39" i="28"/>
  <c r="W38" i="28"/>
  <c r="V38" i="28"/>
  <c r="T38" i="28"/>
  <c r="L38" i="28"/>
  <c r="W36" i="28"/>
  <c r="V36" i="28"/>
  <c r="T36" i="28"/>
  <c r="L36" i="28"/>
  <c r="W34" i="28"/>
  <c r="V34" i="28"/>
  <c r="L34" i="28"/>
  <c r="W32" i="28"/>
  <c r="V32" i="28"/>
  <c r="T32" i="28"/>
  <c r="L32" i="28"/>
  <c r="W30" i="28"/>
  <c r="V30" i="28"/>
  <c r="T30" i="28"/>
  <c r="L30" i="28"/>
  <c r="W29" i="28"/>
  <c r="V29" i="28"/>
  <c r="L29" i="28"/>
  <c r="W28" i="28"/>
  <c r="V28" i="28"/>
  <c r="M28" i="28"/>
  <c r="L28" i="28"/>
  <c r="W27" i="28"/>
  <c r="V27" i="28"/>
  <c r="T27" i="28"/>
  <c r="L27" i="28"/>
  <c r="W26" i="28"/>
  <c r="V26" i="28"/>
  <c r="L26" i="28"/>
  <c r="W25" i="28"/>
  <c r="V25" i="28"/>
  <c r="T25" i="28"/>
  <c r="L25" i="28"/>
  <c r="W24" i="28"/>
  <c r="V24" i="28"/>
  <c r="L24" i="28"/>
  <c r="W22" i="28"/>
  <c r="V22" i="28"/>
  <c r="L22" i="28"/>
  <c r="W21" i="28"/>
  <c r="V21" i="28"/>
  <c r="L21" i="28"/>
  <c r="W20" i="28"/>
  <c r="V20" i="28"/>
  <c r="L20" i="28"/>
  <c r="W19" i="28"/>
  <c r="V19" i="28"/>
  <c r="L19" i="28"/>
  <c r="W17" i="28"/>
  <c r="V17" i="28"/>
  <c r="L17" i="28"/>
  <c r="W15" i="28"/>
  <c r="V15" i="28"/>
  <c r="L15" i="28"/>
  <c r="W14" i="28"/>
  <c r="V14" i="28"/>
  <c r="L14" i="28"/>
  <c r="W9" i="28"/>
  <c r="V9" i="28"/>
  <c r="M9" i="28"/>
  <c r="L9" i="28"/>
  <c r="W7" i="28"/>
  <c r="V7" i="28"/>
  <c r="L7" i="28"/>
  <c r="W5" i="28"/>
  <c r="V5" i="28"/>
  <c r="L5" i="28"/>
  <c r="W3" i="28"/>
  <c r="V3" i="28"/>
  <c r="L3" i="28"/>
  <c r="W2" i="28"/>
  <c r="V2" i="28"/>
  <c r="P2" i="28"/>
  <c r="L2" i="28"/>
  <c r="N42" i="23" l="1"/>
  <c r="M42" i="23" s="1"/>
  <c r="Q42" i="23"/>
  <c r="S2" i="28"/>
  <c r="T2" i="28" s="1"/>
  <c r="Q2" i="28"/>
  <c r="N2" i="28"/>
  <c r="M20" i="28"/>
  <c r="S20" i="28"/>
  <c r="T20" i="28" s="1"/>
  <c r="P22" i="28"/>
  <c r="M32" i="28"/>
  <c r="T34" i="28"/>
  <c r="T15" i="28"/>
  <c r="T14" i="28"/>
  <c r="T8" i="28"/>
  <c r="M8" i="28"/>
  <c r="S42" i="23"/>
  <c r="T42" i="23" s="1"/>
  <c r="T5" i="28"/>
  <c r="M30" i="28"/>
  <c r="T29" i="28"/>
  <c r="M5" i="28"/>
  <c r="T28" i="28"/>
  <c r="T9" i="28"/>
  <c r="M17" i="28"/>
  <c r="T19" i="28"/>
  <c r="M25" i="28"/>
  <c r="T26" i="28"/>
  <c r="M38" i="28"/>
  <c r="T39" i="28"/>
  <c r="T21" i="28"/>
  <c r="T7" i="28"/>
  <c r="M27" i="28"/>
  <c r="M7" i="28"/>
  <c r="M21" i="28"/>
  <c r="M14" i="28"/>
  <c r="M34" i="28"/>
  <c r="M3" i="28"/>
  <c r="M29" i="28"/>
  <c r="M19" i="28"/>
  <c r="T24" i="28"/>
  <c r="M26" i="28"/>
  <c r="M39" i="28"/>
  <c r="T3" i="28"/>
  <c r="M15" i="28"/>
  <c r="M36" i="28"/>
  <c r="W16" i="27"/>
  <c r="V16" i="27"/>
  <c r="P16" i="27"/>
  <c r="L16" i="27"/>
  <c r="W14" i="27"/>
  <c r="V14" i="27"/>
  <c r="P14" i="27"/>
  <c r="L14" i="27"/>
  <c r="W12" i="27"/>
  <c r="V12" i="27"/>
  <c r="P12" i="27"/>
  <c r="L12" i="27"/>
  <c r="W8" i="27"/>
  <c r="V8" i="27"/>
  <c r="P8" i="27"/>
  <c r="L8" i="27"/>
  <c r="W7" i="27"/>
  <c r="V7" i="27"/>
  <c r="P7" i="27"/>
  <c r="L7" i="27"/>
  <c r="W6" i="27"/>
  <c r="V6" i="27"/>
  <c r="P6" i="27"/>
  <c r="L6" i="27"/>
  <c r="W5" i="27"/>
  <c r="V5" i="27"/>
  <c r="P5" i="27"/>
  <c r="L5" i="27"/>
  <c r="W4" i="27"/>
  <c r="V4" i="27"/>
  <c r="P4" i="27"/>
  <c r="S4" i="27" s="1"/>
  <c r="T4" i="27" s="1"/>
  <c r="L4" i="27"/>
  <c r="W3" i="27"/>
  <c r="V3" i="27"/>
  <c r="P3" i="27"/>
  <c r="L3" i="27"/>
  <c r="W2" i="27"/>
  <c r="V2" i="27"/>
  <c r="P2" i="27"/>
  <c r="L2" i="27"/>
  <c r="R2" i="28" l="1"/>
  <c r="R42" i="23"/>
  <c r="S22" i="28"/>
  <c r="T22" i="28" s="1"/>
  <c r="N22" i="28"/>
  <c r="M22" i="28" s="1"/>
  <c r="Q22" i="28"/>
  <c r="Q2" i="27"/>
  <c r="N2" i="27"/>
  <c r="M2" i="27" s="1"/>
  <c r="Q3" i="27"/>
  <c r="N3" i="27"/>
  <c r="M3" i="27" s="1"/>
  <c r="Q4" i="27"/>
  <c r="N4" i="27"/>
  <c r="M4" i="27" s="1"/>
  <c r="Q5" i="27"/>
  <c r="N5" i="27"/>
  <c r="M5" i="27" s="1"/>
  <c r="S6" i="27"/>
  <c r="T6" i="27" s="1"/>
  <c r="N6" i="27"/>
  <c r="Q6" i="27"/>
  <c r="N7" i="27"/>
  <c r="M7" i="27" s="1"/>
  <c r="Q7" i="27"/>
  <c r="S8" i="27"/>
  <c r="T8" i="27" s="1"/>
  <c r="Q8" i="27"/>
  <c r="N8" i="27"/>
  <c r="S12" i="27"/>
  <c r="T12" i="27" s="1"/>
  <c r="N12" i="27"/>
  <c r="Q12" i="27"/>
  <c r="S14" i="27"/>
  <c r="T14" i="27" s="1"/>
  <c r="N14" i="27"/>
  <c r="Q14" i="27"/>
  <c r="S16" i="27"/>
  <c r="T16" i="27" s="1"/>
  <c r="Q16" i="27"/>
  <c r="N16" i="27"/>
  <c r="M2" i="28"/>
  <c r="M24" i="28"/>
  <c r="S3" i="27"/>
  <c r="T3" i="27" s="1"/>
  <c r="S2" i="27"/>
  <c r="T2" i="27" s="1"/>
  <c r="S7" i="27"/>
  <c r="T7" i="27" s="1"/>
  <c r="S5" i="27"/>
  <c r="T5" i="27" s="1"/>
  <c r="I19" i="25"/>
  <c r="H19" i="25"/>
  <c r="P19" i="25" s="1"/>
  <c r="F19" i="25"/>
  <c r="L19" i="25"/>
  <c r="V19" i="25"/>
  <c r="W19" i="25"/>
  <c r="I18" i="25"/>
  <c r="I12" i="25"/>
  <c r="I11" i="25"/>
  <c r="I4" i="25"/>
  <c r="F4" i="25"/>
  <c r="I3" i="25"/>
  <c r="F3" i="25"/>
  <c r="W18" i="25"/>
  <c r="V18" i="25"/>
  <c r="P18" i="25"/>
  <c r="L18" i="25"/>
  <c r="W15" i="25"/>
  <c r="V15" i="25"/>
  <c r="P15" i="25"/>
  <c r="L15" i="25"/>
  <c r="W14" i="25"/>
  <c r="V14" i="25"/>
  <c r="P14" i="25"/>
  <c r="L14" i="25"/>
  <c r="W13" i="25"/>
  <c r="V13" i="25"/>
  <c r="P13" i="25"/>
  <c r="L13" i="25"/>
  <c r="W12" i="25"/>
  <c r="V12" i="25"/>
  <c r="P12" i="25"/>
  <c r="L12" i="25"/>
  <c r="W11" i="25"/>
  <c r="V11" i="25"/>
  <c r="P11" i="25"/>
  <c r="L11" i="25"/>
  <c r="W9" i="25"/>
  <c r="V9" i="25"/>
  <c r="P9" i="25"/>
  <c r="L9" i="25"/>
  <c r="W8" i="25"/>
  <c r="V8" i="25"/>
  <c r="P8" i="25"/>
  <c r="L8" i="25"/>
  <c r="W7" i="25"/>
  <c r="V7" i="25"/>
  <c r="P7" i="25"/>
  <c r="L7" i="25"/>
  <c r="W6" i="25"/>
  <c r="V6" i="25"/>
  <c r="P6" i="25"/>
  <c r="L6" i="25"/>
  <c r="W5" i="25"/>
  <c r="V5" i="25"/>
  <c r="P5" i="25"/>
  <c r="L5" i="25"/>
  <c r="W4" i="25"/>
  <c r="V4" i="25"/>
  <c r="P4" i="25"/>
  <c r="L4" i="25"/>
  <c r="W3" i="25"/>
  <c r="V3" i="25"/>
  <c r="P3" i="25"/>
  <c r="L3" i="25"/>
  <c r="W2" i="25"/>
  <c r="V2" i="25"/>
  <c r="P2" i="25"/>
  <c r="L2" i="25"/>
  <c r="I41" i="23"/>
  <c r="I40" i="23"/>
  <c r="I39" i="23"/>
  <c r="H21" i="23"/>
  <c r="P21" i="23" s="1"/>
  <c r="P20" i="23"/>
  <c r="I4" i="23"/>
  <c r="L10" i="23"/>
  <c r="P10" i="23"/>
  <c r="V10" i="23"/>
  <c r="W10" i="23"/>
  <c r="L11" i="23"/>
  <c r="P11" i="23"/>
  <c r="V11" i="23"/>
  <c r="W11" i="23"/>
  <c r="L12" i="23"/>
  <c r="P12" i="23"/>
  <c r="V12" i="23"/>
  <c r="W12" i="23"/>
  <c r="L13" i="23"/>
  <c r="P13" i="23"/>
  <c r="V13" i="23"/>
  <c r="W13" i="23"/>
  <c r="L14" i="23"/>
  <c r="P14" i="23"/>
  <c r="V14" i="23"/>
  <c r="W14" i="23"/>
  <c r="L15" i="23"/>
  <c r="P15" i="23"/>
  <c r="V15" i="23"/>
  <c r="W15" i="23"/>
  <c r="L16" i="23"/>
  <c r="P16" i="23"/>
  <c r="V16" i="23"/>
  <c r="W16" i="23"/>
  <c r="L18" i="23"/>
  <c r="P18" i="23"/>
  <c r="V18" i="23"/>
  <c r="W18" i="23"/>
  <c r="L19" i="23"/>
  <c r="P19" i="23"/>
  <c r="V19" i="23"/>
  <c r="W19" i="23"/>
  <c r="L20" i="23"/>
  <c r="V20" i="23"/>
  <c r="W20" i="23"/>
  <c r="L21" i="23"/>
  <c r="V21" i="23"/>
  <c r="W21" i="23"/>
  <c r="L23" i="23"/>
  <c r="P23" i="23"/>
  <c r="V23" i="23"/>
  <c r="W23" i="23"/>
  <c r="L25" i="23"/>
  <c r="P25" i="23"/>
  <c r="V25" i="23"/>
  <c r="W25" i="23"/>
  <c r="L27" i="23"/>
  <c r="P27" i="23"/>
  <c r="V27" i="23"/>
  <c r="W27" i="23"/>
  <c r="L28" i="23"/>
  <c r="P28" i="23"/>
  <c r="V28" i="23"/>
  <c r="W28" i="23"/>
  <c r="L29" i="23"/>
  <c r="P29" i="23"/>
  <c r="V29" i="23"/>
  <c r="W29" i="23"/>
  <c r="L30" i="23"/>
  <c r="P30" i="23"/>
  <c r="V30" i="23"/>
  <c r="W30" i="23"/>
  <c r="L31" i="23"/>
  <c r="P31" i="23"/>
  <c r="V31" i="23"/>
  <c r="W31" i="23"/>
  <c r="L32" i="23"/>
  <c r="P32" i="23"/>
  <c r="V32" i="23"/>
  <c r="W32" i="23"/>
  <c r="L34" i="23"/>
  <c r="P34" i="23"/>
  <c r="V34" i="23"/>
  <c r="W34" i="23"/>
  <c r="L35" i="23"/>
  <c r="P35" i="23"/>
  <c r="V35" i="23"/>
  <c r="W35" i="23"/>
  <c r="L36" i="23"/>
  <c r="P36" i="23"/>
  <c r="V36" i="23"/>
  <c r="W36" i="23"/>
  <c r="L37" i="23"/>
  <c r="P37" i="23"/>
  <c r="V37" i="23"/>
  <c r="W37" i="23"/>
  <c r="L38" i="23"/>
  <c r="P38" i="23"/>
  <c r="V38" i="23"/>
  <c r="W38" i="23"/>
  <c r="L39" i="23"/>
  <c r="P39" i="23"/>
  <c r="V39" i="23"/>
  <c r="W39" i="23"/>
  <c r="L40" i="23"/>
  <c r="P40" i="23"/>
  <c r="V40" i="23"/>
  <c r="W40" i="23"/>
  <c r="L41" i="23"/>
  <c r="P41" i="23"/>
  <c r="V41" i="23"/>
  <c r="W41" i="23"/>
  <c r="S39" i="23" l="1"/>
  <c r="T39" i="23" s="1"/>
  <c r="R8" i="27"/>
  <c r="R6" i="27"/>
  <c r="R2" i="27"/>
  <c r="R12" i="27"/>
  <c r="R4" i="27"/>
  <c r="R3" i="27"/>
  <c r="R7" i="27"/>
  <c r="R5" i="27"/>
  <c r="N20" i="23"/>
  <c r="M20" i="23" s="1"/>
  <c r="Q20" i="23"/>
  <c r="N21" i="23"/>
  <c r="M21" i="23" s="1"/>
  <c r="Q21" i="23"/>
  <c r="R22" i="28"/>
  <c r="S19" i="23"/>
  <c r="T19" i="23" s="1"/>
  <c r="Q19" i="23"/>
  <c r="N19" i="23"/>
  <c r="M19" i="23" s="1"/>
  <c r="N18" i="23"/>
  <c r="M18" i="23" s="1"/>
  <c r="Q18" i="23"/>
  <c r="N16" i="23"/>
  <c r="M16" i="23" s="1"/>
  <c r="Q16" i="23"/>
  <c r="S15" i="23"/>
  <c r="T15" i="23" s="1"/>
  <c r="N15" i="23"/>
  <c r="M15" i="23" s="1"/>
  <c r="Q15" i="23"/>
  <c r="N14" i="23"/>
  <c r="M14" i="23" s="1"/>
  <c r="Q14" i="23"/>
  <c r="N13" i="23"/>
  <c r="M13" i="23" s="1"/>
  <c r="Q13" i="23"/>
  <c r="Q12" i="23"/>
  <c r="N12" i="23"/>
  <c r="M12" i="23" s="1"/>
  <c r="Q11" i="23"/>
  <c r="N11" i="23"/>
  <c r="M11" i="23" s="1"/>
  <c r="N10" i="23"/>
  <c r="M10" i="23" s="1"/>
  <c r="Q10" i="23"/>
  <c r="N2" i="25"/>
  <c r="Q2" i="25"/>
  <c r="Q3" i="25"/>
  <c r="N3" i="25"/>
  <c r="M3" i="25" s="1"/>
  <c r="N4" i="25"/>
  <c r="Q4" i="25"/>
  <c r="Q5" i="25"/>
  <c r="N5" i="25"/>
  <c r="M5" i="25" s="1"/>
  <c r="N6" i="25"/>
  <c r="Q6" i="25"/>
  <c r="N7" i="25"/>
  <c r="M7" i="25" s="1"/>
  <c r="Q7" i="25"/>
  <c r="Q8" i="25"/>
  <c r="N8" i="25"/>
  <c r="M8" i="25" s="1"/>
  <c r="N9" i="25"/>
  <c r="M9" i="25" s="1"/>
  <c r="Q9" i="25"/>
  <c r="Q11" i="25"/>
  <c r="N11" i="25"/>
  <c r="Q12" i="25"/>
  <c r="N12" i="25"/>
  <c r="M12" i="25" s="1"/>
  <c r="Q13" i="25"/>
  <c r="N13" i="25"/>
  <c r="M13" i="25" s="1"/>
  <c r="S14" i="25"/>
  <c r="T14" i="25" s="1"/>
  <c r="Q14" i="25"/>
  <c r="N14" i="25"/>
  <c r="N15" i="25"/>
  <c r="M15" i="25" s="1"/>
  <c r="Q15" i="25"/>
  <c r="Q18" i="25"/>
  <c r="N18" i="25"/>
  <c r="Q19" i="25"/>
  <c r="N19" i="25"/>
  <c r="M19" i="25" s="1"/>
  <c r="N41" i="23"/>
  <c r="M41" i="23" s="1"/>
  <c r="Q41" i="23"/>
  <c r="Q40" i="23"/>
  <c r="N40" i="23"/>
  <c r="M40" i="23" s="1"/>
  <c r="N39" i="23"/>
  <c r="M39" i="23" s="1"/>
  <c r="Q39" i="23"/>
  <c r="S38" i="23"/>
  <c r="T38" i="23" s="1"/>
  <c r="N38" i="23"/>
  <c r="M38" i="23" s="1"/>
  <c r="Q38" i="23"/>
  <c r="N37" i="23"/>
  <c r="M37" i="23" s="1"/>
  <c r="Q37" i="23"/>
  <c r="Q36" i="23"/>
  <c r="N36" i="23"/>
  <c r="M36" i="23" s="1"/>
  <c r="S35" i="23"/>
  <c r="T35" i="23" s="1"/>
  <c r="N35" i="23"/>
  <c r="M35" i="23" s="1"/>
  <c r="Q35" i="23"/>
  <c r="N34" i="23"/>
  <c r="M34" i="23" s="1"/>
  <c r="Q34" i="23"/>
  <c r="Q32" i="23"/>
  <c r="N32" i="23"/>
  <c r="M32" i="23" s="1"/>
  <c r="S31" i="23"/>
  <c r="T31" i="23" s="1"/>
  <c r="N31" i="23"/>
  <c r="M31" i="23" s="1"/>
  <c r="Q31" i="23"/>
  <c r="Q30" i="23"/>
  <c r="N30" i="23"/>
  <c r="M30" i="23" s="1"/>
  <c r="N29" i="23"/>
  <c r="M29" i="23" s="1"/>
  <c r="Q29" i="23"/>
  <c r="S28" i="23"/>
  <c r="T28" i="23" s="1"/>
  <c r="N28" i="23"/>
  <c r="M28" i="23" s="1"/>
  <c r="Q28" i="23"/>
  <c r="N27" i="23"/>
  <c r="M27" i="23" s="1"/>
  <c r="Q27" i="23"/>
  <c r="N25" i="23"/>
  <c r="M25" i="23" s="1"/>
  <c r="Q25" i="23"/>
  <c r="S23" i="23"/>
  <c r="T23" i="23" s="1"/>
  <c r="N23" i="23"/>
  <c r="M23" i="23" s="1"/>
  <c r="Q23" i="23"/>
  <c r="R16" i="27"/>
  <c r="R14" i="27"/>
  <c r="M6" i="27"/>
  <c r="M14" i="27"/>
  <c r="M12" i="27"/>
  <c r="M8" i="27"/>
  <c r="M16" i="27"/>
  <c r="S19" i="25"/>
  <c r="T19" i="25" s="1"/>
  <c r="S11" i="25"/>
  <c r="T11" i="25" s="1"/>
  <c r="S12" i="25"/>
  <c r="T12" i="25" s="1"/>
  <c r="S4" i="25"/>
  <c r="T4" i="25" s="1"/>
  <c r="S3" i="25"/>
  <c r="T3" i="25" s="1"/>
  <c r="S15" i="25"/>
  <c r="T15" i="25" s="1"/>
  <c r="S7" i="25"/>
  <c r="T7" i="25" s="1"/>
  <c r="S8" i="25"/>
  <c r="T8" i="25" s="1"/>
  <c r="M4" i="25"/>
  <c r="M2" i="25"/>
  <c r="M18" i="25"/>
  <c r="M6" i="25"/>
  <c r="S2" i="25"/>
  <c r="T2" i="25" s="1"/>
  <c r="S6" i="25"/>
  <c r="T6" i="25" s="1"/>
  <c r="S5" i="25"/>
  <c r="T5" i="25" s="1"/>
  <c r="S9" i="25"/>
  <c r="T9" i="25" s="1"/>
  <c r="S13" i="25"/>
  <c r="T13" i="25" s="1"/>
  <c r="S18" i="25"/>
  <c r="T18" i="25" s="1"/>
  <c r="S32" i="23"/>
  <c r="T32" i="23" s="1"/>
  <c r="S40" i="23"/>
  <c r="T40" i="23" s="1"/>
  <c r="S34" i="23"/>
  <c r="T34" i="23" s="1"/>
  <c r="S27" i="23"/>
  <c r="T27" i="23" s="1"/>
  <c r="S25" i="23"/>
  <c r="T25" i="23" s="1"/>
  <c r="S18" i="23"/>
  <c r="T18" i="23" s="1"/>
  <c r="S37" i="23"/>
  <c r="T37" i="23" s="1"/>
  <c r="S30" i="23"/>
  <c r="T30" i="23" s="1"/>
  <c r="S21" i="23"/>
  <c r="T21" i="23" s="1"/>
  <c r="S41" i="23"/>
  <c r="T41" i="23" s="1"/>
  <c r="S36" i="23"/>
  <c r="T36" i="23" s="1"/>
  <c r="S29" i="23"/>
  <c r="T29" i="23" s="1"/>
  <c r="S20" i="23"/>
  <c r="T20" i="23" s="1"/>
  <c r="S16" i="23"/>
  <c r="T16" i="23" s="1"/>
  <c r="S10" i="23"/>
  <c r="T10" i="23" s="1"/>
  <c r="S14" i="23"/>
  <c r="T14" i="23" s="1"/>
  <c r="S13" i="23"/>
  <c r="T13" i="23" s="1"/>
  <c r="S12" i="23"/>
  <c r="T12" i="23" s="1"/>
  <c r="S11" i="23"/>
  <c r="T11" i="23" s="1"/>
  <c r="R23" i="23" l="1"/>
  <c r="R38" i="23"/>
  <c r="R25" i="23"/>
  <c r="R28" i="23"/>
  <c r="R34" i="23"/>
  <c r="R10" i="23"/>
  <c r="R13" i="23"/>
  <c r="R15" i="23"/>
  <c r="R19" i="23"/>
  <c r="R20" i="23"/>
  <c r="R18" i="23"/>
  <c r="R18" i="25"/>
  <c r="R14" i="25"/>
  <c r="R9" i="25"/>
  <c r="R7" i="25"/>
  <c r="R15" i="25"/>
  <c r="R27" i="23"/>
  <c r="R35" i="23"/>
  <c r="R39" i="23"/>
  <c r="R41" i="23"/>
  <c r="R6" i="25"/>
  <c r="R4" i="25"/>
  <c r="R2" i="25"/>
  <c r="R14" i="23"/>
  <c r="R21" i="23"/>
  <c r="R40" i="23"/>
  <c r="R12" i="25"/>
  <c r="R3" i="25"/>
  <c r="R30" i="23"/>
  <c r="R36" i="23"/>
  <c r="R29" i="23"/>
  <c r="R31" i="23"/>
  <c r="R32" i="23"/>
  <c r="R37" i="23"/>
  <c r="R13" i="25"/>
  <c r="R11" i="25"/>
  <c r="R8" i="25"/>
  <c r="R12" i="23"/>
  <c r="R16" i="23"/>
  <c r="R19" i="25"/>
  <c r="R5" i="25"/>
  <c r="R11" i="23"/>
  <c r="M14" i="25"/>
  <c r="M11" i="25"/>
  <c r="P3" i="23" l="1"/>
  <c r="P4" i="23"/>
  <c r="P6" i="23"/>
  <c r="P8" i="23"/>
  <c r="P2" i="23"/>
  <c r="W3" i="23"/>
  <c r="W4" i="23"/>
  <c r="W6" i="23"/>
  <c r="W8" i="23"/>
  <c r="W2" i="23"/>
  <c r="V3" i="23"/>
  <c r="V4" i="23"/>
  <c r="V6" i="23"/>
  <c r="V8" i="23"/>
  <c r="V2" i="23"/>
  <c r="S4" i="23" l="1"/>
  <c r="N4" i="23"/>
  <c r="Q4" i="23"/>
  <c r="S2" i="23"/>
  <c r="N2" i="23"/>
  <c r="Q2" i="23"/>
  <c r="S3" i="23"/>
  <c r="N3" i="23"/>
  <c r="Q3" i="23"/>
  <c r="S8" i="23"/>
  <c r="T8" i="23" s="1"/>
  <c r="N8" i="23"/>
  <c r="M8" i="23" s="1"/>
  <c r="Q8" i="23"/>
  <c r="S6" i="23"/>
  <c r="N6" i="23"/>
  <c r="Q6" i="23"/>
  <c r="L8" i="23"/>
  <c r="R8" i="23" l="1"/>
  <c r="R2" i="23"/>
  <c r="R6" i="23"/>
  <c r="R4" i="23"/>
  <c r="R3" i="23"/>
  <c r="T4" i="23"/>
  <c r="T6" i="23"/>
  <c r="L6" i="23"/>
  <c r="T3" i="23"/>
  <c r="T2" i="23"/>
  <c r="M3" i="23"/>
  <c r="M4" i="23"/>
  <c r="M6" i="23"/>
  <c r="M2" i="23"/>
  <c r="L4" i="23"/>
  <c r="L3" i="23"/>
  <c r="L2" i="23"/>
</calcChain>
</file>

<file path=xl/sharedStrings.xml><?xml version="1.0" encoding="utf-8"?>
<sst xmlns="http://schemas.openxmlformats.org/spreadsheetml/2006/main" count="3436" uniqueCount="922">
  <si>
    <t>Floor</t>
  </si>
  <si>
    <t>Window Ventilation (1/0)</t>
  </si>
  <si>
    <t>Ventilated (1/0)</t>
  </si>
  <si>
    <t>Fan Number</t>
  </si>
  <si>
    <t>Supply Flow [m³/h]</t>
  </si>
  <si>
    <t>Exhaust Flow [m³/h]</t>
  </si>
  <si>
    <t>Exhaust Temp [°C]</t>
  </si>
  <si>
    <t>Supply Temp [°C]</t>
  </si>
  <si>
    <t>Target Temperature [°C]</t>
  </si>
  <si>
    <t xml:space="preserve">Heating times </t>
  </si>
  <si>
    <t>Mixing Ventilation (1/0)</t>
  </si>
  <si>
    <t>Occupancy schedule</t>
  </si>
  <si>
    <t>Occupancy Intensity</t>
  </si>
  <si>
    <t>etc.</t>
  </si>
  <si>
    <t>Inner walls length[m]</t>
  </si>
  <si>
    <t>Index</t>
  </si>
  <si>
    <t>NetArea[m²]</t>
  </si>
  <si>
    <t>RoomIdentifier</t>
  </si>
  <si>
    <t>UsageType</t>
  </si>
  <si>
    <t>BelongsToIdentifier</t>
  </si>
  <si>
    <t>WindowArea[m²]</t>
  </si>
  <si>
    <t>OuterWallArea[m²]</t>
  </si>
  <si>
    <t>OuterWallConstruction</t>
  </si>
  <si>
    <t>HeatedRoomHeight[m]</t>
  </si>
  <si>
    <t>WindowConstruction</t>
  </si>
  <si>
    <t>IsRooftop</t>
  </si>
  <si>
    <t>IsGroundFloor</t>
  </si>
  <si>
    <t>InnerWallArea[m²]</t>
  </si>
  <si>
    <t>WindowOrientation[°]</t>
  </si>
  <si>
    <t>OuterWallOrientation[°]</t>
  </si>
  <si>
    <t>InnerWallConstruction</t>
  </si>
  <si>
    <t>FloorConstruction</t>
  </si>
  <si>
    <t>CeilingConstruction</t>
  </si>
  <si>
    <t>WallAdjacentTo</t>
  </si>
  <si>
    <t>OuterWallAreaInclWindow</t>
  </si>
  <si>
    <t>Outer Wall length [m]</t>
  </si>
  <si>
    <t>Setup:</t>
  </si>
  <si>
    <t>Height [m]</t>
  </si>
  <si>
    <t>Windows</t>
  </si>
  <si>
    <t>Zones are used to calculate thermal behaviour between walls and areas within the building that are not rooms. Examples are the courtyard and several shafts. The Zones are shown in sheet "Zones". All other shafts or areas can be ignored and adjacent walls are interior walls.</t>
  </si>
  <si>
    <t>Orange columns MUST be filled in MANUALLY although not all orange columns must have a value. All all other columns are filled in automatically.</t>
  </si>
  <si>
    <t>Yellow and some orange columns are read by Teaser.</t>
  </si>
  <si>
    <t>Deutsch</t>
  </si>
  <si>
    <t>Reinigungsraum</t>
  </si>
  <si>
    <t>N/A</t>
  </si>
  <si>
    <t>Storage</t>
  </si>
  <si>
    <t>Abstellraum</t>
  </si>
  <si>
    <t>English</t>
  </si>
  <si>
    <t>Patientenraum</t>
  </si>
  <si>
    <t>PatientRoom</t>
  </si>
  <si>
    <t>CleaningRoom</t>
  </si>
  <si>
    <t>OuterWallLength[drawing m]</t>
  </si>
  <si>
    <t>Circumference[drawing m]</t>
  </si>
  <si>
    <t>Büro</t>
  </si>
  <si>
    <t>Office</t>
  </si>
  <si>
    <t>TechnicalRoom</t>
  </si>
  <si>
    <t>Technikraum</t>
  </si>
  <si>
    <t>Washing</t>
  </si>
  <si>
    <t>Aufenthaltsraum</t>
  </si>
  <si>
    <t>Lounge</t>
  </si>
  <si>
    <t>Stützpunkt</t>
  </si>
  <si>
    <t>Reception</t>
  </si>
  <si>
    <t>Aisle</t>
  </si>
  <si>
    <t>Flur</t>
  </si>
  <si>
    <t>WC</t>
  </si>
  <si>
    <t>Nasszelle / Bad</t>
  </si>
  <si>
    <t>Kitchen</t>
  </si>
  <si>
    <t>TreatmentRoom</t>
  </si>
  <si>
    <t>Behandlungsraum</t>
  </si>
  <si>
    <t>Inner Walls</t>
  </si>
  <si>
    <t>Outer Walls</t>
  </si>
  <si>
    <t>Küche</t>
  </si>
  <si>
    <t>Toilette</t>
  </si>
  <si>
    <t>WasteHandling</t>
  </si>
  <si>
    <t>Entsorgung</t>
  </si>
  <si>
    <t>Laboratory</t>
  </si>
  <si>
    <t>9.01.01</t>
  </si>
  <si>
    <t>9.01.02</t>
  </si>
  <si>
    <t>9.01.03</t>
  </si>
  <si>
    <t>9.01.04</t>
  </si>
  <si>
    <t>9.01.05</t>
  </si>
  <si>
    <t>9.01.06</t>
  </si>
  <si>
    <t>9.01.07</t>
  </si>
  <si>
    <t>9.01.08</t>
  </si>
  <si>
    <t>9.01.09</t>
  </si>
  <si>
    <t>9.01.10</t>
  </si>
  <si>
    <t>9.01.10.1</t>
  </si>
  <si>
    <t>9.01.11</t>
  </si>
  <si>
    <t>9.01.12</t>
  </si>
  <si>
    <t>9.01.12.1</t>
  </si>
  <si>
    <t>9.01.13</t>
  </si>
  <si>
    <t>9.01.14</t>
  </si>
  <si>
    <t>9.01.15</t>
  </si>
  <si>
    <t>9.01.16</t>
  </si>
  <si>
    <t>9.01.17</t>
  </si>
  <si>
    <t>9.01.18</t>
  </si>
  <si>
    <t>9.01.19</t>
  </si>
  <si>
    <t>9.01.20</t>
  </si>
  <si>
    <t>9.01.21</t>
  </si>
  <si>
    <t>9.01.22</t>
  </si>
  <si>
    <t>9.01.22.1</t>
  </si>
  <si>
    <t>9.01.23</t>
  </si>
  <si>
    <t>9.01.23.1</t>
  </si>
  <si>
    <t>9.01.24</t>
  </si>
  <si>
    <t>9.A.01</t>
  </si>
  <si>
    <t>9.A.02</t>
  </si>
  <si>
    <t>9.A.03</t>
  </si>
  <si>
    <t>9.01.00</t>
  </si>
  <si>
    <t>9.01.03.1</t>
  </si>
  <si>
    <t>9.01.04.1</t>
  </si>
  <si>
    <t>9.01.05.1</t>
  </si>
  <si>
    <t>9.01.11.1</t>
  </si>
  <si>
    <t>9.01.14.1</t>
  </si>
  <si>
    <t>9.01.15.1</t>
  </si>
  <si>
    <t>9.01.16.1</t>
  </si>
  <si>
    <t>9.01.17.1</t>
  </si>
  <si>
    <t>9.01.21.1</t>
  </si>
  <si>
    <t>9.02.02</t>
  </si>
  <si>
    <t>9.02.03</t>
  </si>
  <si>
    <t>9.02.04</t>
  </si>
  <si>
    <t>9.02.05</t>
  </si>
  <si>
    <t>9.02.06</t>
  </si>
  <si>
    <t>9.02.07</t>
  </si>
  <si>
    <t>9.02.08</t>
  </si>
  <si>
    <t>9.02.09</t>
  </si>
  <si>
    <t>9.02.10</t>
  </si>
  <si>
    <t>9.02.10.1</t>
  </si>
  <si>
    <t>9.02.11</t>
  </si>
  <si>
    <t>9.02.12</t>
  </si>
  <si>
    <t>9.02.12.1</t>
  </si>
  <si>
    <t>9.02.13</t>
  </si>
  <si>
    <t>9.02.14</t>
  </si>
  <si>
    <t>9.02.15</t>
  </si>
  <si>
    <t>9.02.16</t>
  </si>
  <si>
    <t>9.02.17</t>
  </si>
  <si>
    <t>9.02.18</t>
  </si>
  <si>
    <t>9.02.19</t>
  </si>
  <si>
    <t>9.02.20</t>
  </si>
  <si>
    <t>9.02.21</t>
  </si>
  <si>
    <t>9.02.22</t>
  </si>
  <si>
    <t>9.02.22.1</t>
  </si>
  <si>
    <t>9.02.23</t>
  </si>
  <si>
    <t>9.02.23.1</t>
  </si>
  <si>
    <t>9.02.24</t>
  </si>
  <si>
    <t>9.02.00</t>
  </si>
  <si>
    <t>9.02.17.1</t>
  </si>
  <si>
    <t>9.02.01</t>
  </si>
  <si>
    <t>9.02.03.1</t>
  </si>
  <si>
    <t>9.02.04.1</t>
  </si>
  <si>
    <t>9.02.05.1</t>
  </si>
  <si>
    <t>9.02.11.1</t>
  </si>
  <si>
    <t>9.02.14.1</t>
  </si>
  <si>
    <t>9.02.15.1</t>
  </si>
  <si>
    <t>9.02.16.1</t>
  </si>
  <si>
    <t>9.02.21.1</t>
  </si>
  <si>
    <t>9.03.05.1</t>
  </si>
  <si>
    <t>9.03.05</t>
  </si>
  <si>
    <t>9.03.07</t>
  </si>
  <si>
    <t>9.03.08</t>
  </si>
  <si>
    <t>9.03.09</t>
  </si>
  <si>
    <t>9.03.09.1</t>
  </si>
  <si>
    <t>9.03.10</t>
  </si>
  <si>
    <t>9.03.10.1</t>
  </si>
  <si>
    <t>9.03.11</t>
  </si>
  <si>
    <t>9.03.13</t>
  </si>
  <si>
    <t>9.03.14</t>
  </si>
  <si>
    <t>9.03.15</t>
  </si>
  <si>
    <t>9.03.15.1</t>
  </si>
  <si>
    <t>9.03.21</t>
  </si>
  <si>
    <t>9.03.22</t>
  </si>
  <si>
    <t>9.03.23</t>
  </si>
  <si>
    <t>9.03.24</t>
  </si>
  <si>
    <t>9.03.25</t>
  </si>
  <si>
    <t>9.03.26</t>
  </si>
  <si>
    <t>9.A.07</t>
  </si>
  <si>
    <t>9.03.01</t>
  </si>
  <si>
    <t>9.03.02</t>
  </si>
  <si>
    <t>9.03.02.1</t>
  </si>
  <si>
    <t>9.03.03</t>
  </si>
  <si>
    <t>9.03.03.1</t>
  </si>
  <si>
    <t>9.03.04</t>
  </si>
  <si>
    <t>9.03.00</t>
  </si>
  <si>
    <t>AirLock</t>
  </si>
  <si>
    <t>9.03.06</t>
  </si>
  <si>
    <t>9.03.06.1</t>
  </si>
  <si>
    <t>Operation</t>
  </si>
  <si>
    <t>9.03.27</t>
  </si>
  <si>
    <t>9.03.28</t>
  </si>
  <si>
    <t>9.03.29</t>
  </si>
  <si>
    <t>9.03.30</t>
  </si>
  <si>
    <t>9.03.31</t>
  </si>
  <si>
    <t>9.03.32</t>
  </si>
  <si>
    <t>9.03.33</t>
  </si>
  <si>
    <t>9.03.34</t>
  </si>
  <si>
    <t>9.03.35</t>
  </si>
  <si>
    <t>9.03.36</t>
  </si>
  <si>
    <t>9.04.01</t>
  </si>
  <si>
    <t>9.04.02</t>
  </si>
  <si>
    <t>9.04.02.1</t>
  </si>
  <si>
    <t>9.04.03</t>
  </si>
  <si>
    <t>9.04.03.1</t>
  </si>
  <si>
    <t>9.04.04</t>
  </si>
  <si>
    <t>9.04.04.1</t>
  </si>
  <si>
    <t>9.04.00</t>
  </si>
  <si>
    <t>9.04.05</t>
  </si>
  <si>
    <t>9.04.05.1</t>
  </si>
  <si>
    <t>9.04.06</t>
  </si>
  <si>
    <t>9.04.06.1</t>
  </si>
  <si>
    <t>9.04.09</t>
  </si>
  <si>
    <t>9.04.10</t>
  </si>
  <si>
    <t>9.04.10.1</t>
  </si>
  <si>
    <t>9.04.11</t>
  </si>
  <si>
    <t>9.04.11.1</t>
  </si>
  <si>
    <t>9.04.12</t>
  </si>
  <si>
    <t>9.04.12.1</t>
  </si>
  <si>
    <t>9.04.13</t>
  </si>
  <si>
    <t>9.04.14</t>
  </si>
  <si>
    <t>9.04.15</t>
  </si>
  <si>
    <t>9.04.15.1</t>
  </si>
  <si>
    <t>9.04.16</t>
  </si>
  <si>
    <t>9.04.16.1</t>
  </si>
  <si>
    <t>9.04.17</t>
  </si>
  <si>
    <t>9.04.19.1</t>
  </si>
  <si>
    <t>9.04.18</t>
  </si>
  <si>
    <t>9.04.19</t>
  </si>
  <si>
    <t>9.04.22</t>
  </si>
  <si>
    <t>9.04.22.1</t>
  </si>
  <si>
    <t>9.04.23</t>
  </si>
  <si>
    <t>9.04.23.1</t>
  </si>
  <si>
    <t>9.04.24</t>
  </si>
  <si>
    <t>9.04.24.1</t>
  </si>
  <si>
    <t>9.04.25</t>
  </si>
  <si>
    <t>9.04.25.1</t>
  </si>
  <si>
    <t>9.04.26</t>
  </si>
  <si>
    <t>9.A.08</t>
  </si>
  <si>
    <t>9.04.17.1</t>
  </si>
  <si>
    <t>9.04.08</t>
  </si>
  <si>
    <t>9.04.08.1</t>
  </si>
  <si>
    <t>9.04.09.1</t>
  </si>
  <si>
    <t>9.04.18.1</t>
  </si>
  <si>
    <t>9.04.21</t>
  </si>
  <si>
    <t>9.04.21.1</t>
  </si>
  <si>
    <t>9.05.03</t>
  </si>
  <si>
    <t>9.05.03.1</t>
  </si>
  <si>
    <t>9.05.04</t>
  </si>
  <si>
    <t>9.05.04.1</t>
  </si>
  <si>
    <t>9.05.00</t>
  </si>
  <si>
    <t>9.05.05</t>
  </si>
  <si>
    <t>9.05.05.1</t>
  </si>
  <si>
    <t>9.05.08</t>
  </si>
  <si>
    <t>9.05.08.1</t>
  </si>
  <si>
    <t>9.05.10</t>
  </si>
  <si>
    <t>9.05.10.1</t>
  </si>
  <si>
    <t>9.05.11</t>
  </si>
  <si>
    <t>9.05.11.1</t>
  </si>
  <si>
    <t>9.05.12</t>
  </si>
  <si>
    <t>9.05.12.1</t>
  </si>
  <si>
    <t>9.05.13</t>
  </si>
  <si>
    <t>9.05.14</t>
  </si>
  <si>
    <t>9.05.15</t>
  </si>
  <si>
    <t>9.05.15.1</t>
  </si>
  <si>
    <t>9.05.16</t>
  </si>
  <si>
    <t>9.05.16.1</t>
  </si>
  <si>
    <t>9.05.17</t>
  </si>
  <si>
    <t>9.05.19.1</t>
  </si>
  <si>
    <t>9.05.18</t>
  </si>
  <si>
    <t>9.05.18.1</t>
  </si>
  <si>
    <t>9.05.22</t>
  </si>
  <si>
    <t>9.05.22.1</t>
  </si>
  <si>
    <t>9.05.23</t>
  </si>
  <si>
    <t>9.05.23.1</t>
  </si>
  <si>
    <t>9.05.24</t>
  </si>
  <si>
    <t>9.05.24.1</t>
  </si>
  <si>
    <t>9.05.25</t>
  </si>
  <si>
    <t>9.05.26</t>
  </si>
  <si>
    <t>9.A.09</t>
  </si>
  <si>
    <t>9.05.17.1</t>
  </si>
  <si>
    <t>9.05.01</t>
  </si>
  <si>
    <t>9.05.02</t>
  </si>
  <si>
    <t>9.05.02.1</t>
  </si>
  <si>
    <t>9.05.06</t>
  </si>
  <si>
    <t>9.05.06.1</t>
  </si>
  <si>
    <t>9.05.09</t>
  </si>
  <si>
    <t>9.05.09.1</t>
  </si>
  <si>
    <t>9.05.19</t>
  </si>
  <si>
    <t>9.06.01</t>
  </si>
  <si>
    <t>9.06.02</t>
  </si>
  <si>
    <t>9.06.02.1</t>
  </si>
  <si>
    <t>9.06.03</t>
  </si>
  <si>
    <t>9.06.03.1</t>
  </si>
  <si>
    <t>9.06.04</t>
  </si>
  <si>
    <t>9.06.04.1</t>
  </si>
  <si>
    <t>9.06.00</t>
  </si>
  <si>
    <t>9.06.05</t>
  </si>
  <si>
    <t>9.06.07</t>
  </si>
  <si>
    <t>9.06.08</t>
  </si>
  <si>
    <t>9.06.09</t>
  </si>
  <si>
    <t>9.06.09.1</t>
  </si>
  <si>
    <t>9.06.10</t>
  </si>
  <si>
    <t>9.06.10.1</t>
  </si>
  <si>
    <t>9.06.11</t>
  </si>
  <si>
    <t>9.06.11.1</t>
  </si>
  <si>
    <t>9.06.12</t>
  </si>
  <si>
    <t>9.06.12.1</t>
  </si>
  <si>
    <t>9.06.13</t>
  </si>
  <si>
    <t>9.06.14</t>
  </si>
  <si>
    <t>9.06.15</t>
  </si>
  <si>
    <t>9.06.15.1</t>
  </si>
  <si>
    <t>9.06.16</t>
  </si>
  <si>
    <t>9.06.16.1</t>
  </si>
  <si>
    <t>9.06.17</t>
  </si>
  <si>
    <t>9.06.18</t>
  </si>
  <si>
    <t>9.06.19</t>
  </si>
  <si>
    <t>9.06.21</t>
  </si>
  <si>
    <t>9.06.22</t>
  </si>
  <si>
    <t>9.06.23</t>
  </si>
  <si>
    <t>9.06.23.1</t>
  </si>
  <si>
    <t>9.06.24</t>
  </si>
  <si>
    <t>9.06.24.1</t>
  </si>
  <si>
    <t>9.06.25</t>
  </si>
  <si>
    <t>9.06.26</t>
  </si>
  <si>
    <t>9.A.10</t>
  </si>
  <si>
    <t>9.06.17.1</t>
  </si>
  <si>
    <t>9.06.06</t>
  </si>
  <si>
    <t>9.06.20</t>
  </si>
  <si>
    <t>9.B.01</t>
  </si>
  <si>
    <t>9.B.02</t>
  </si>
  <si>
    <t>9.B.03</t>
  </si>
  <si>
    <t>9.B.04</t>
  </si>
  <si>
    <t>9.B.05</t>
  </si>
  <si>
    <t>9.B.06</t>
  </si>
  <si>
    <t>9.B.07</t>
  </si>
  <si>
    <t>9.B.08</t>
  </si>
  <si>
    <t>9.B.08.1</t>
  </si>
  <si>
    <t>9.B1</t>
  </si>
  <si>
    <t>9.B.10</t>
  </si>
  <si>
    <t>9.B.11</t>
  </si>
  <si>
    <t>9.B.12</t>
  </si>
  <si>
    <t>9.B.13</t>
  </si>
  <si>
    <t>9.B.14</t>
  </si>
  <si>
    <t>9.B2</t>
  </si>
  <si>
    <t>9.B1.00</t>
  </si>
  <si>
    <t>9.B.13.1</t>
  </si>
  <si>
    <t>9.B2.00</t>
  </si>
  <si>
    <t>9.B.08.2</t>
  </si>
  <si>
    <t>9.B.09.1</t>
  </si>
  <si>
    <t>9.B.10.1</t>
  </si>
  <si>
    <t>9.B.11.1</t>
  </si>
  <si>
    <t>9.B.30</t>
  </si>
  <si>
    <t>9.B3</t>
  </si>
  <si>
    <t>9.B.12.1</t>
  </si>
  <si>
    <t>9.B.13.2</t>
  </si>
  <si>
    <t>9.B.15.1</t>
  </si>
  <si>
    <t>9.B.16</t>
  </si>
  <si>
    <t>9.B.17</t>
  </si>
  <si>
    <t>9.B.18</t>
  </si>
  <si>
    <t>9.B4</t>
  </si>
  <si>
    <t>9.B.19</t>
  </si>
  <si>
    <t>9.B.20</t>
  </si>
  <si>
    <t>9.B.21</t>
  </si>
  <si>
    <t>9.B.25</t>
  </si>
  <si>
    <t>9.B.24</t>
  </si>
  <si>
    <t>9.B5</t>
  </si>
  <si>
    <t>9.B.22</t>
  </si>
  <si>
    <t>9.B.23</t>
  </si>
  <si>
    <t>9.B.27</t>
  </si>
  <si>
    <t>9.B.26</t>
  </si>
  <si>
    <t>9.B6</t>
  </si>
  <si>
    <t>9.B.14.1</t>
  </si>
  <si>
    <t>9.B.29</t>
  </si>
  <si>
    <t>9.B.28</t>
  </si>
  <si>
    <t>9.C1</t>
  </si>
  <si>
    <t>9.C.02</t>
  </si>
  <si>
    <t>9.C.03</t>
  </si>
  <si>
    <t>9.C.04</t>
  </si>
  <si>
    <t>9.C.05</t>
  </si>
  <si>
    <t>9.C.06</t>
  </si>
  <si>
    <t>9.C.07</t>
  </si>
  <si>
    <t>9.C.08</t>
  </si>
  <si>
    <t>9.C.09</t>
  </si>
  <si>
    <t>9.C.10</t>
  </si>
  <si>
    <t>9.C2</t>
  </si>
  <si>
    <t>9.C.12</t>
  </si>
  <si>
    <t>9.C.13</t>
  </si>
  <si>
    <t>9.C.14</t>
  </si>
  <si>
    <t>9.C.15</t>
  </si>
  <si>
    <t>9.C.16</t>
  </si>
  <si>
    <t>9.C.17</t>
  </si>
  <si>
    <t>9.C.18</t>
  </si>
  <si>
    <t>9.C.19</t>
  </si>
  <si>
    <t>9.C.20</t>
  </si>
  <si>
    <t>9.C1.00</t>
  </si>
  <si>
    <t>9.C.07.1</t>
  </si>
  <si>
    <t>9.C.21</t>
  </si>
  <si>
    <t>9.C.22</t>
  </si>
  <si>
    <t>9.C.24</t>
  </si>
  <si>
    <t>9.C.23</t>
  </si>
  <si>
    <t>9.C2.00</t>
  </si>
  <si>
    <t>9.C.14.1</t>
  </si>
  <si>
    <t>9.C.19.1</t>
  </si>
  <si>
    <t>9.C.18.1</t>
  </si>
  <si>
    <t>9.C.42</t>
  </si>
  <si>
    <t>9.C.41</t>
  </si>
  <si>
    <t>9.C4</t>
  </si>
  <si>
    <t>9.C.21.1</t>
  </si>
  <si>
    <t>9.C.23.1</t>
  </si>
  <si>
    <t>9.C5</t>
  </si>
  <si>
    <t>9.C.25</t>
  </si>
  <si>
    <t>9.C.26</t>
  </si>
  <si>
    <t>9.C.27</t>
  </si>
  <si>
    <t>9.C.28</t>
  </si>
  <si>
    <t>9.C.39</t>
  </si>
  <si>
    <t>9.C.40</t>
  </si>
  <si>
    <t>9.C.38</t>
  </si>
  <si>
    <t>9.C.29</t>
  </si>
  <si>
    <t>9.C.30</t>
  </si>
  <si>
    <t>9.C.37</t>
  </si>
  <si>
    <t>9.C6</t>
  </si>
  <si>
    <t>9.C.31</t>
  </si>
  <si>
    <t>9.C.32</t>
  </si>
  <si>
    <t>9.C.33</t>
  </si>
  <si>
    <t>9.C.34</t>
  </si>
  <si>
    <t>9.C.35</t>
  </si>
  <si>
    <t>9.C.36</t>
  </si>
  <si>
    <t>9.C.25.1</t>
  </si>
  <si>
    <t>9.C.15.2</t>
  </si>
  <si>
    <t>9.C.16.2</t>
  </si>
  <si>
    <t>9.C.17.1</t>
  </si>
  <si>
    <t>9.C.20.1</t>
  </si>
  <si>
    <t>9.C.22.1</t>
  </si>
  <si>
    <t>9.C.24.1</t>
  </si>
  <si>
    <t>9.C.25.2</t>
  </si>
  <si>
    <t>9.07.01</t>
  </si>
  <si>
    <t>9.07.02</t>
  </si>
  <si>
    <t>9.07.03</t>
  </si>
  <si>
    <t>9.07.04</t>
  </si>
  <si>
    <t>9.07.05</t>
  </si>
  <si>
    <t>9.07.06</t>
  </si>
  <si>
    <t>9.07.07</t>
  </si>
  <si>
    <t>9.07.08</t>
  </si>
  <si>
    <t>9.07.09</t>
  </si>
  <si>
    <t>9.07.11</t>
  </si>
  <si>
    <t>9.07.12</t>
  </si>
  <si>
    <t>9.07.10</t>
  </si>
  <si>
    <t>9.07.13</t>
  </si>
  <si>
    <t>9.07.14</t>
  </si>
  <si>
    <t>9.07.00</t>
  </si>
  <si>
    <t>9.07.07.1</t>
  </si>
  <si>
    <t>9.07.08.1</t>
  </si>
  <si>
    <t>9.07.09.1</t>
  </si>
  <si>
    <t>9.07.10.1</t>
  </si>
  <si>
    <t>9.07.11.1</t>
  </si>
  <si>
    <t>9.07.12.1</t>
  </si>
  <si>
    <t>9.07.13.1</t>
  </si>
  <si>
    <t>9.07.14.1</t>
  </si>
  <si>
    <t>9.08.01</t>
  </si>
  <si>
    <t>9.08.02</t>
  </si>
  <si>
    <t>9.08.03</t>
  </si>
  <si>
    <t>9.08.04</t>
  </si>
  <si>
    <t>9.08.05</t>
  </si>
  <si>
    <t>9.08.06</t>
  </si>
  <si>
    <t>9.08.07</t>
  </si>
  <si>
    <t>9.08.08</t>
  </si>
  <si>
    <t>9.08.09</t>
  </si>
  <si>
    <t>9.08.10</t>
  </si>
  <si>
    <t>9.08.00</t>
  </si>
  <si>
    <t>9.08.11</t>
  </si>
  <si>
    <t>9.08.12</t>
  </si>
  <si>
    <t>9.08.01.1</t>
  </si>
  <si>
    <t>9.08.02.1</t>
  </si>
  <si>
    <t>9.08.03.1</t>
  </si>
  <si>
    <t>9.08.04.1</t>
  </si>
  <si>
    <t>9.08.05.1</t>
  </si>
  <si>
    <t>9.08.06.1</t>
  </si>
  <si>
    <t>9.08.07.1</t>
  </si>
  <si>
    <t>9.08.08.1</t>
  </si>
  <si>
    <t>9.09.00</t>
  </si>
  <si>
    <t>9.09.01</t>
  </si>
  <si>
    <t>9.09.02</t>
  </si>
  <si>
    <t>9.09.03</t>
  </si>
  <si>
    <t>9.09.04</t>
  </si>
  <si>
    <t>9.09.05</t>
  </si>
  <si>
    <t>9.09.06</t>
  </si>
  <si>
    <t>9.09.07</t>
  </si>
  <si>
    <t>9.09.08</t>
  </si>
  <si>
    <t>9.09.09</t>
  </si>
  <si>
    <t>9.09.01.1</t>
  </si>
  <si>
    <t>9.09.10</t>
  </si>
  <si>
    <t>9.09.10.1</t>
  </si>
  <si>
    <t>9.09.11</t>
  </si>
  <si>
    <t>9.09.12</t>
  </si>
  <si>
    <t>9.11.00</t>
  </si>
  <si>
    <t>9.11.01</t>
  </si>
  <si>
    <t>9.11.02</t>
  </si>
  <si>
    <t>9.11.03</t>
  </si>
  <si>
    <t>9.11.04</t>
  </si>
  <si>
    <t>9.11.05</t>
  </si>
  <si>
    <t>9.11.06</t>
  </si>
  <si>
    <t>9.11.07</t>
  </si>
  <si>
    <t>9.11.08</t>
  </si>
  <si>
    <t>9.11.09</t>
  </si>
  <si>
    <t>9.11.10</t>
  </si>
  <si>
    <t>9.11.11</t>
  </si>
  <si>
    <t>9.11.12</t>
  </si>
  <si>
    <t>9.11.13</t>
  </si>
  <si>
    <t>9.11.14</t>
  </si>
  <si>
    <t>9.11.15</t>
  </si>
  <si>
    <t>9.11.16</t>
  </si>
  <si>
    <t>9.11.17</t>
  </si>
  <si>
    <t>9.11.18</t>
  </si>
  <si>
    <t>9.11.19</t>
  </si>
  <si>
    <t>9.11.20</t>
  </si>
  <si>
    <t>9.11.21</t>
  </si>
  <si>
    <t>9.11.22</t>
  </si>
  <si>
    <t>9.11.31</t>
  </si>
  <si>
    <t>9.11.32</t>
  </si>
  <si>
    <t>9.11.33</t>
  </si>
  <si>
    <t>9.11.34</t>
  </si>
  <si>
    <t>9.11.35</t>
  </si>
  <si>
    <t>9.11.36</t>
  </si>
  <si>
    <t>9.11.37</t>
  </si>
  <si>
    <t>9.11.38</t>
  </si>
  <si>
    <t>9.11.39</t>
  </si>
  <si>
    <t>9.11.40</t>
  </si>
  <si>
    <t>9.11.41</t>
  </si>
  <si>
    <t>9.11.42</t>
  </si>
  <si>
    <t>9.11.43</t>
  </si>
  <si>
    <t>9.11.44</t>
  </si>
  <si>
    <t>9.11.45</t>
  </si>
  <si>
    <t>9.11.46</t>
  </si>
  <si>
    <t>9.11.47</t>
  </si>
  <si>
    <t>9.11.48</t>
  </si>
  <si>
    <t>9.11.49</t>
  </si>
  <si>
    <t>9.11.50</t>
  </si>
  <si>
    <t>9.11.51</t>
  </si>
  <si>
    <t>9.11.52</t>
  </si>
  <si>
    <t>9.11.53</t>
  </si>
  <si>
    <t>9.12.00</t>
  </si>
  <si>
    <t>9.12.01</t>
  </si>
  <si>
    <t>9.12.02</t>
  </si>
  <si>
    <t>9.12.03</t>
  </si>
  <si>
    <t>9.12.04</t>
  </si>
  <si>
    <t>9.13.00</t>
  </si>
  <si>
    <t>9.13.01</t>
  </si>
  <si>
    <t>9.13.02</t>
  </si>
  <si>
    <t>9.13.04</t>
  </si>
  <si>
    <t>9.13.05</t>
  </si>
  <si>
    <t>9.13.06</t>
  </si>
  <si>
    <t>9.13.07</t>
  </si>
  <si>
    <t>9.13.09</t>
  </si>
  <si>
    <t>9.13.10</t>
  </si>
  <si>
    <t>9.13.11</t>
  </si>
  <si>
    <t>9.13.12</t>
  </si>
  <si>
    <t>9.13.13</t>
  </si>
  <si>
    <t>9.13.08</t>
  </si>
  <si>
    <t>9.14.00</t>
  </si>
  <si>
    <t>9.14.13</t>
  </si>
  <si>
    <t>9.14.14</t>
  </si>
  <si>
    <t>9.14.15</t>
  </si>
  <si>
    <t>9.14.16</t>
  </si>
  <si>
    <t>9.14.21</t>
  </si>
  <si>
    <t>9.14.20</t>
  </si>
  <si>
    <t>9.14.01</t>
  </si>
  <si>
    <t>9.14.02</t>
  </si>
  <si>
    <t>9.14.03</t>
  </si>
  <si>
    <t>9.14.04</t>
  </si>
  <si>
    <t>9.14.05</t>
  </si>
  <si>
    <t>9.14.06</t>
  </si>
  <si>
    <t>9.14.07</t>
  </si>
  <si>
    <t>9.14.08</t>
  </si>
  <si>
    <t>9.14.09</t>
  </si>
  <si>
    <t>9.14.10</t>
  </si>
  <si>
    <t>9.14.11</t>
  </si>
  <si>
    <t>9.14.12</t>
  </si>
  <si>
    <t>9.14.17</t>
  </si>
  <si>
    <t>9.14.19</t>
  </si>
  <si>
    <t>9.15.00</t>
  </si>
  <si>
    <t>9.15.01</t>
  </si>
  <si>
    <t>9.15.01.1</t>
  </si>
  <si>
    <t>9.15.02</t>
  </si>
  <si>
    <t>9.15.02.1</t>
  </si>
  <si>
    <t>9.15.03</t>
  </si>
  <si>
    <t>9.15.03.1</t>
  </si>
  <si>
    <t>9.15.04</t>
  </si>
  <si>
    <t>9.15.04.1</t>
  </si>
  <si>
    <t>9.15.05</t>
  </si>
  <si>
    <t>9.15.05.1</t>
  </si>
  <si>
    <t>9.16.05</t>
  </si>
  <si>
    <t>9.15.06</t>
  </si>
  <si>
    <t>9.15.06.1</t>
  </si>
  <si>
    <t>9.15.07</t>
  </si>
  <si>
    <t>9.15.08</t>
  </si>
  <si>
    <t>9.15.08.1</t>
  </si>
  <si>
    <t>9.15.09</t>
  </si>
  <si>
    <t>9.15.10</t>
  </si>
  <si>
    <t>9.15.11</t>
  </si>
  <si>
    <t>9.15.12</t>
  </si>
  <si>
    <t>9.15.13</t>
  </si>
  <si>
    <t>9.15.07.1</t>
  </si>
  <si>
    <t>9.15.14</t>
  </si>
  <si>
    <t>9.15.15</t>
  </si>
  <si>
    <t>9.15.16</t>
  </si>
  <si>
    <t>9.15.14a</t>
  </si>
  <si>
    <t>9.16.00</t>
  </si>
  <si>
    <t>9.16.03</t>
  </si>
  <si>
    <t>9.16.04</t>
  </si>
  <si>
    <t>9.16.06</t>
  </si>
  <si>
    <t>9.16.07</t>
  </si>
  <si>
    <t>9.16.08</t>
  </si>
  <si>
    <t>9.16.09</t>
  </si>
  <si>
    <t>9.16.10</t>
  </si>
  <si>
    <t>9.16.11</t>
  </si>
  <si>
    <t>9.16.12</t>
  </si>
  <si>
    <t>9.16.13</t>
  </si>
  <si>
    <t>9.16.14</t>
  </si>
  <si>
    <t>9.16.15</t>
  </si>
  <si>
    <t>9.16.16</t>
  </si>
  <si>
    <t>9.16.17</t>
  </si>
  <si>
    <t>9.17.00</t>
  </si>
  <si>
    <t>9.17.01</t>
  </si>
  <si>
    <t>9.17.02</t>
  </si>
  <si>
    <t>9.17.03</t>
  </si>
  <si>
    <t>9.17.04</t>
  </si>
  <si>
    <t>9.17.05</t>
  </si>
  <si>
    <t>9.17.06</t>
  </si>
  <si>
    <t>9.17.07</t>
  </si>
  <si>
    <t>9.17.09</t>
  </si>
  <si>
    <t>9.17.10</t>
  </si>
  <si>
    <t>9.17.11</t>
  </si>
  <si>
    <t>9.17.12</t>
  </si>
  <si>
    <t>9.17.13</t>
  </si>
  <si>
    <t>9.17.14</t>
  </si>
  <si>
    <t>9.17.15</t>
  </si>
  <si>
    <t>9.17.16</t>
  </si>
  <si>
    <t>9.18.00</t>
  </si>
  <si>
    <t>9.18.01</t>
  </si>
  <si>
    <t>9.18.01.1</t>
  </si>
  <si>
    <t>9.18.02</t>
  </si>
  <si>
    <t>9.18.02.1</t>
  </si>
  <si>
    <t>9.18.03</t>
  </si>
  <si>
    <t>9.18.03.1</t>
  </si>
  <si>
    <t>9.18.04</t>
  </si>
  <si>
    <t>9.18.04.1</t>
  </si>
  <si>
    <t>9.18.05</t>
  </si>
  <si>
    <t>9.18.05.1</t>
  </si>
  <si>
    <t>9.18.06</t>
  </si>
  <si>
    <t>9.18.06.1</t>
  </si>
  <si>
    <t>9.18.07</t>
  </si>
  <si>
    <t>9.18.08</t>
  </si>
  <si>
    <t>9.18.08.1</t>
  </si>
  <si>
    <t>9.18.09</t>
  </si>
  <si>
    <t>9.18.10</t>
  </si>
  <si>
    <t>9.18.11</t>
  </si>
  <si>
    <t>9.18.12</t>
  </si>
  <si>
    <t>9.18.14</t>
  </si>
  <si>
    <t>9.18.16</t>
  </si>
  <si>
    <t>9.18.07.1</t>
  </si>
  <si>
    <t>9.18.15</t>
  </si>
  <si>
    <t>9.19.01</t>
  </si>
  <si>
    <t>9.19.02</t>
  </si>
  <si>
    <t>9.19.03</t>
  </si>
  <si>
    <t>9.19.04</t>
  </si>
  <si>
    <t>9.19.05</t>
  </si>
  <si>
    <t>9.19.06</t>
  </si>
  <si>
    <t>9.19.07</t>
  </si>
  <si>
    <t>9.19.08</t>
  </si>
  <si>
    <t>9.19.09</t>
  </si>
  <si>
    <t>9.19.10</t>
  </si>
  <si>
    <t>9.19.11</t>
  </si>
  <si>
    <t>9.19.12</t>
  </si>
  <si>
    <t>9.D.01</t>
  </si>
  <si>
    <t>9.D.02</t>
  </si>
  <si>
    <t>9.D.03</t>
  </si>
  <si>
    <t>9.19.00</t>
  </si>
  <si>
    <t>9.19.13</t>
  </si>
  <si>
    <t>9.19.14</t>
  </si>
  <si>
    <t>9.19.15</t>
  </si>
  <si>
    <t>9.19.16</t>
  </si>
  <si>
    <t>9.19.17</t>
  </si>
  <si>
    <t>9.19.18</t>
  </si>
  <si>
    <t>9.19.19</t>
  </si>
  <si>
    <t>9.19.20</t>
  </si>
  <si>
    <t>9.19.03.1</t>
  </si>
  <si>
    <t>9.19.04.1</t>
  </si>
  <si>
    <t>9.19.05.1</t>
  </si>
  <si>
    <t>9.19.09.1</t>
  </si>
  <si>
    <t>9.19.10.1</t>
  </si>
  <si>
    <t>9.19.11.1</t>
  </si>
  <si>
    <t>9.19.12.1</t>
  </si>
  <si>
    <t>9.19.13.1</t>
  </si>
  <si>
    <t>9.19.14.1</t>
  </si>
  <si>
    <t>9.19.15.1</t>
  </si>
  <si>
    <t>9.19.16.1</t>
  </si>
  <si>
    <t>9.19.21</t>
  </si>
  <si>
    <t>9.19.22</t>
  </si>
  <si>
    <t>9.19.23</t>
  </si>
  <si>
    <t>9.19.24</t>
  </si>
  <si>
    <t>9.19.21.1</t>
  </si>
  <si>
    <t>9.19.22.1</t>
  </si>
  <si>
    <t>9.19.23.1</t>
  </si>
  <si>
    <t>9.20.01</t>
  </si>
  <si>
    <t>9.20.02</t>
  </si>
  <si>
    <t>9.20.03</t>
  </si>
  <si>
    <t>9.20.03.1</t>
  </si>
  <si>
    <t>9.20.04</t>
  </si>
  <si>
    <t>9.20.04.1</t>
  </si>
  <si>
    <t>9.20.05</t>
  </si>
  <si>
    <t>9.20.05.1</t>
  </si>
  <si>
    <t>9.20.06</t>
  </si>
  <si>
    <t>9.20.07</t>
  </si>
  <si>
    <t>9.20.08</t>
  </si>
  <si>
    <t>9.20.09</t>
  </si>
  <si>
    <t>9.20.09.1</t>
  </si>
  <si>
    <t>9.20.10</t>
  </si>
  <si>
    <t>9.20.10.1</t>
  </si>
  <si>
    <t>9.20.11</t>
  </si>
  <si>
    <t>9.20.11.1</t>
  </si>
  <si>
    <t>9.20.12</t>
  </si>
  <si>
    <t>9.20.12.1</t>
  </si>
  <si>
    <t>9.20.00</t>
  </si>
  <si>
    <t>9.20.13</t>
  </si>
  <si>
    <t>9.20.13.1</t>
  </si>
  <si>
    <t>9.20.14</t>
  </si>
  <si>
    <t>9.20.14.1</t>
  </si>
  <si>
    <t>9.20.15</t>
  </si>
  <si>
    <t>9.20.15.1</t>
  </si>
  <si>
    <t>9.20.16</t>
  </si>
  <si>
    <t>9.20.16.1</t>
  </si>
  <si>
    <t>9.20.17</t>
  </si>
  <si>
    <t>9.20.18</t>
  </si>
  <si>
    <t>9.20.19</t>
  </si>
  <si>
    <t>9.20.20</t>
  </si>
  <si>
    <t>9.20.21</t>
  </si>
  <si>
    <t>9.20.21.1</t>
  </si>
  <si>
    <t>9.20.22</t>
  </si>
  <si>
    <t>9.20.22.1</t>
  </si>
  <si>
    <t>9.20.23</t>
  </si>
  <si>
    <t>9.20.23.1</t>
  </si>
  <si>
    <t>9.20.24</t>
  </si>
  <si>
    <t>9.D.04</t>
  </si>
  <si>
    <t>9.D.05</t>
  </si>
  <si>
    <t>9.D.06</t>
  </si>
  <si>
    <t>9.21.01</t>
  </si>
  <si>
    <t>9.21.02</t>
  </si>
  <si>
    <t>9.21.04</t>
  </si>
  <si>
    <t>9.21.06</t>
  </si>
  <si>
    <t>9.D.07</t>
  </si>
  <si>
    <t>9.21.13</t>
  </si>
  <si>
    <t>9.21.14</t>
  </si>
  <si>
    <t>9.21.00</t>
  </si>
  <si>
    <t>9.21.21</t>
  </si>
  <si>
    <t>9.21.22</t>
  </si>
  <si>
    <t>9.21.23</t>
  </si>
  <si>
    <t>9.21.24</t>
  </si>
  <si>
    <t>9.21.25</t>
  </si>
  <si>
    <t>9.21.26</t>
  </si>
  <si>
    <t>9.21.27</t>
  </si>
  <si>
    <t>9.21.28</t>
  </si>
  <si>
    <t>9.21.01A</t>
  </si>
  <si>
    <t>9.21.29</t>
  </si>
  <si>
    <t>9.21.32</t>
  </si>
  <si>
    <t>9.21.33</t>
  </si>
  <si>
    <t>9.21.34</t>
  </si>
  <si>
    <t>9.21.35</t>
  </si>
  <si>
    <t>9.21.36</t>
  </si>
  <si>
    <t>9.21.37</t>
  </si>
  <si>
    <t>9.21.38</t>
  </si>
  <si>
    <t>9.21.39</t>
  </si>
  <si>
    <t>9.21.42</t>
  </si>
  <si>
    <t>9.21.41</t>
  </si>
  <si>
    <t>9.21.43</t>
  </si>
  <si>
    <t>9.21.44</t>
  </si>
  <si>
    <t>9.21.45</t>
  </si>
  <si>
    <t>9.21.46</t>
  </si>
  <si>
    <t>9.21.47</t>
  </si>
  <si>
    <t>9.21.48</t>
  </si>
  <si>
    <t>9.21.49</t>
  </si>
  <si>
    <t>9.21.51</t>
  </si>
  <si>
    <t>9.21.52</t>
  </si>
  <si>
    <t>9.21.54</t>
  </si>
  <si>
    <t>9.21.55</t>
  </si>
  <si>
    <t>9.21.56</t>
  </si>
  <si>
    <t>9.21.57</t>
  </si>
  <si>
    <t>9.22.01</t>
  </si>
  <si>
    <t>9.22.02</t>
  </si>
  <si>
    <t>9.22.02.1</t>
  </si>
  <si>
    <t>9.22.03</t>
  </si>
  <si>
    <t>9.22.03.1</t>
  </si>
  <si>
    <t>9.22.04</t>
  </si>
  <si>
    <t>9.22.04.1</t>
  </si>
  <si>
    <t>9.22.05</t>
  </si>
  <si>
    <t>9.22.06</t>
  </si>
  <si>
    <t>9.22.06.1</t>
  </si>
  <si>
    <t>9.22.07</t>
  </si>
  <si>
    <t>9.22.09.1</t>
  </si>
  <si>
    <t>9.22.08</t>
  </si>
  <si>
    <t>9.22.09</t>
  </si>
  <si>
    <t>9.22.10</t>
  </si>
  <si>
    <t>9.22.11</t>
  </si>
  <si>
    <t>9.22.11.1</t>
  </si>
  <si>
    <t>9.D.08</t>
  </si>
  <si>
    <t>9.22.13</t>
  </si>
  <si>
    <t>9.22.14</t>
  </si>
  <si>
    <t>9.22.00</t>
  </si>
  <si>
    <t>9.22.15</t>
  </si>
  <si>
    <t>9.22.15.1</t>
  </si>
  <si>
    <t>9.22.16</t>
  </si>
  <si>
    <t>9.22.17</t>
  </si>
  <si>
    <t>9.22.18</t>
  </si>
  <si>
    <t>9.22.19</t>
  </si>
  <si>
    <t>9.22.21</t>
  </si>
  <si>
    <t>9.22.21.1</t>
  </si>
  <si>
    <t>9.22.22</t>
  </si>
  <si>
    <t>9.22.22.1</t>
  </si>
  <si>
    <t>9.22.23</t>
  </si>
  <si>
    <t>9.22.23.1</t>
  </si>
  <si>
    <t>9.22.24</t>
  </si>
  <si>
    <t>9.22.24.1</t>
  </si>
  <si>
    <t>9.22.25</t>
  </si>
  <si>
    <t>9.22.25.1</t>
  </si>
  <si>
    <t>9.22.26</t>
  </si>
  <si>
    <t>9.22.12</t>
  </si>
  <si>
    <t>9.22.12.1</t>
  </si>
  <si>
    <t>9.22.16.1</t>
  </si>
  <si>
    <t>9.22.17.1</t>
  </si>
  <si>
    <t>9.22.19.1</t>
  </si>
  <si>
    <t>9.22.20</t>
  </si>
  <si>
    <t>9.23.01</t>
  </si>
  <si>
    <t>9.23.02</t>
  </si>
  <si>
    <t>9.23.02.1</t>
  </si>
  <si>
    <t>9.23.03</t>
  </si>
  <si>
    <t>9.23.03.1</t>
  </si>
  <si>
    <t>9.23.04</t>
  </si>
  <si>
    <t>9.23.04.1</t>
  </si>
  <si>
    <t>9.23.05</t>
  </si>
  <si>
    <t>9.23.06</t>
  </si>
  <si>
    <t>9.23.06.1</t>
  </si>
  <si>
    <t>9.23.07</t>
  </si>
  <si>
    <t>9.23.09.1</t>
  </si>
  <si>
    <t>9.23.08</t>
  </si>
  <si>
    <t>9.23.09</t>
  </si>
  <si>
    <t>9.23.10</t>
  </si>
  <si>
    <t>9.23.11</t>
  </si>
  <si>
    <t>9.23.11.1</t>
  </si>
  <si>
    <t>9.23.15</t>
  </si>
  <si>
    <t>9.23.15.1</t>
  </si>
  <si>
    <t>9.23.16</t>
  </si>
  <si>
    <t>9.23.17</t>
  </si>
  <si>
    <t>9.23.12</t>
  </si>
  <si>
    <t>9.D.09</t>
  </si>
  <si>
    <t>9.23.13</t>
  </si>
  <si>
    <t>9.23.14</t>
  </si>
  <si>
    <t>9.23.00</t>
  </si>
  <si>
    <t>9.23.18</t>
  </si>
  <si>
    <t>9.23.19</t>
  </si>
  <si>
    <t>9.23.19.1</t>
  </si>
  <si>
    <t>9.23.21</t>
  </si>
  <si>
    <t>9.23.21.1</t>
  </si>
  <si>
    <t>9.23.22</t>
  </si>
  <si>
    <t>9.23.22.1</t>
  </si>
  <si>
    <t>9.23.23</t>
  </si>
  <si>
    <t>9.23.23.1</t>
  </si>
  <si>
    <t>9.23.24</t>
  </si>
  <si>
    <t>9.23.24.1</t>
  </si>
  <si>
    <t>9.23.25</t>
  </si>
  <si>
    <t>9.23.25.1</t>
  </si>
  <si>
    <t>9.23.26</t>
  </si>
  <si>
    <t>9.23.12.1</t>
  </si>
  <si>
    <t>9.23.16.1</t>
  </si>
  <si>
    <t>9.23.17.1</t>
  </si>
  <si>
    <t>9.23.20</t>
  </si>
  <si>
    <t>9.24.01</t>
  </si>
  <si>
    <t>9.24.02</t>
  </si>
  <si>
    <t>9.24.02.1</t>
  </si>
  <si>
    <t>9.24.03</t>
  </si>
  <si>
    <t>9.24.03.1</t>
  </si>
  <si>
    <t>9.24.04</t>
  </si>
  <si>
    <t>9.24.04.1</t>
  </si>
  <si>
    <t>9.24.05</t>
  </si>
  <si>
    <t>9.24.06</t>
  </si>
  <si>
    <t>9.24.06.1</t>
  </si>
  <si>
    <t>9.24.07</t>
  </si>
  <si>
    <t>9.24.08</t>
  </si>
  <si>
    <t>9.24.09</t>
  </si>
  <si>
    <t>9.24.09.1</t>
  </si>
  <si>
    <t>9.24.10</t>
  </si>
  <si>
    <t>9.24.11</t>
  </si>
  <si>
    <t>9.24.11.1</t>
  </si>
  <si>
    <t>9.24.12</t>
  </si>
  <si>
    <t>9.24.12.1</t>
  </si>
  <si>
    <t>9.24.13</t>
  </si>
  <si>
    <t>9.24.14</t>
  </si>
  <si>
    <t>9.24.00</t>
  </si>
  <si>
    <t>9.24.15</t>
  </si>
  <si>
    <t>9.24.15.1</t>
  </si>
  <si>
    <t>9.24.16</t>
  </si>
  <si>
    <t>9.24.16.1</t>
  </si>
  <si>
    <t>9.24.17</t>
  </si>
  <si>
    <t>9.24.17.1</t>
  </si>
  <si>
    <t>9.24.18</t>
  </si>
  <si>
    <t>9.24.19</t>
  </si>
  <si>
    <t>9.24.19.1</t>
  </si>
  <si>
    <t>9.24.20</t>
  </si>
  <si>
    <t>9.24.21</t>
  </si>
  <si>
    <t>9.24.21.1</t>
  </si>
  <si>
    <t>9.24.22</t>
  </si>
  <si>
    <t>9.24.22.1</t>
  </si>
  <si>
    <t>9.24.23</t>
  </si>
  <si>
    <t>9.24.24.1</t>
  </si>
  <si>
    <t>9.24.24</t>
  </si>
  <si>
    <t>9.24.25</t>
  </si>
  <si>
    <t>9.24.25.1</t>
  </si>
  <si>
    <t>9.24.26</t>
  </si>
  <si>
    <t>9.24.23.1</t>
  </si>
  <si>
    <t>9.D.10</t>
  </si>
  <si>
    <t>Schleuse</t>
  </si>
  <si>
    <t>Intensivstation</t>
  </si>
  <si>
    <t>IntensiveCare</t>
  </si>
  <si>
    <t>9.A.04</t>
  </si>
  <si>
    <t>9.A.06</t>
  </si>
  <si>
    <t>9.A.05</t>
  </si>
  <si>
    <t>(Dreisatz über Fotos scheinbar gültig für alle Etagen 7,8 und 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</si>
</sst>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dd/mm/yy;@"/>
  </numFmts>
  <fonts count="6" x14ac:knownFonts="1">
    <font>
      <sz val="11"/>
      <color theme="1"/>
      <name val="Calibri"/>
      <family val="2"/>
      <scheme val="minor"/>
    </font>
    <font>
      <b/>
      <sz val="12"/>
      <color theme="1"/>
      <name val="Calibri"/>
      <family val="2"/>
      <scheme val="minor"/>
    </font>
    <font>
      <b/>
      <sz val="11"/>
      <color theme="1"/>
      <name val="Calibri"/>
      <family val="2"/>
      <scheme val="minor"/>
    </font>
    <font>
      <b/>
      <sz val="16"/>
      <color rgb="FFFF0000"/>
      <name val="Calibri"/>
      <family val="2"/>
      <scheme val="minor"/>
    </font>
    <font>
      <sz val="16"/>
      <color rgb="FFFF0000"/>
      <name val="Calibri"/>
      <family val="2"/>
      <scheme val="minor"/>
    </font>
    <font>
      <sz val="8"/>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C000"/>
        <bgColor indexed="64"/>
      </patternFill>
    </fill>
  </fills>
  <borders count="4">
    <border>
      <left/>
      <right/>
      <top/>
      <bottom/>
      <diagonal/>
    </border>
    <border>
      <left/>
      <right/>
      <top style="medium">
        <color indexed="64"/>
      </top>
      <bottom style="double">
        <color indexed="64"/>
      </bottom>
      <diagonal/>
    </border>
    <border>
      <left style="thin">
        <color indexed="64"/>
      </left>
      <right/>
      <top/>
      <bottom/>
      <diagonal/>
    </border>
    <border>
      <left style="thin">
        <color indexed="64"/>
      </left>
      <right/>
      <top style="medium">
        <color indexed="64"/>
      </top>
      <bottom style="double">
        <color indexed="64"/>
      </bottom>
      <diagonal/>
    </border>
  </borders>
  <cellStyleXfs count="1">
    <xf numFmtId="0" fontId="0" fillId="0" borderId="0"/>
  </cellStyleXfs>
  <cellXfs count="18">
    <xf numFmtId="0" fontId="0" fillId="0" borderId="0" xfId="0"/>
    <xf numFmtId="0" fontId="1" fillId="0" borderId="1" xfId="0" applyFont="1" applyBorder="1"/>
    <xf numFmtId="0" fontId="2" fillId="0" borderId="0" xfId="0" applyFont="1"/>
    <xf numFmtId="0" fontId="1" fillId="0" borderId="3" xfId="0" applyFont="1" applyBorder="1"/>
    <xf numFmtId="0" fontId="0" fillId="0" borderId="2" xfId="0" applyBorder="1"/>
    <xf numFmtId="0" fontId="3" fillId="0" borderId="0" xfId="0" applyFont="1"/>
    <xf numFmtId="0" fontId="4" fillId="0" borderId="0" xfId="0" applyFont="1"/>
    <xf numFmtId="0" fontId="1" fillId="2" borderId="1" xfId="0" applyFont="1" applyFill="1" applyBorder="1"/>
    <xf numFmtId="0" fontId="0" fillId="0" borderId="0" xfId="0" applyBorder="1"/>
    <xf numFmtId="0" fontId="1" fillId="3" borderId="1" xfId="0" applyFont="1" applyFill="1" applyBorder="1"/>
    <xf numFmtId="0" fontId="1" fillId="0" borderId="0" xfId="0" applyFont="1" applyBorder="1"/>
    <xf numFmtId="14" fontId="2" fillId="0" borderId="0" xfId="0" applyNumberFormat="1" applyFont="1"/>
    <xf numFmtId="0" fontId="0" fillId="0" borderId="0" xfId="0" applyAlignment="1">
      <alignment vertical="top" wrapText="1"/>
    </xf>
    <xf numFmtId="0" fontId="0" fillId="0" borderId="0" xfId="0" applyNumberFormat="1"/>
    <xf numFmtId="0" fontId="0" fillId="0" borderId="0" xfId="0" applyNumberFormat="1" applyProtection="1">
      <protection locked="0"/>
    </xf>
    <xf numFmtId="164" fontId="0" fillId="0" borderId="0" xfId="0" quotePrefix="1" applyNumberFormat="1" applyProtection="1">
      <protection locked="0"/>
    </xf>
    <xf numFmtId="49" fontId="0" fillId="0" borderId="0" xfId="0" quotePrefix="1" applyNumberFormat="1" applyProtection="1">
      <protection locked="0"/>
    </xf>
    <xf numFmtId="14" fontId="0" fillId="0" borderId="0" xfId="0" applyNumberFormat="1"/>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2</xdr:col>
      <xdr:colOff>238125</xdr:colOff>
      <xdr:row>0</xdr:row>
      <xdr:rowOff>76200</xdr:rowOff>
    </xdr:from>
    <xdr:to>
      <xdr:col>9</xdr:col>
      <xdr:colOff>458974</xdr:colOff>
      <xdr:row>36</xdr:row>
      <xdr:rowOff>23787</xdr:rowOff>
    </xdr:to>
    <xdr:pic>
      <xdr:nvPicPr>
        <xdr:cNvPr id="2" name="Grafik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419850" y="76200"/>
          <a:ext cx="5554849" cy="74151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B00-000002000000}"/>
            </a:ext>
          </a:extLst>
        </xdr:cNvPr>
        <xdr:cNvSpPr txBox="1"/>
      </xdr:nvSpPr>
      <xdr:spPr>
        <a:xfrm>
          <a:off x="39856522"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3" name="Textfeld 2">
          <a:extLst>
            <a:ext uri="{FF2B5EF4-FFF2-40B4-BE49-F238E27FC236}">
              <a16:creationId xmlns:a16="http://schemas.microsoft.com/office/drawing/2014/main" id="{00000000-0008-0000-0B00-000003000000}"/>
            </a:ext>
          </a:extLst>
        </xdr:cNvPr>
        <xdr:cNvSpPr txBox="1"/>
      </xdr:nvSpPr>
      <xdr:spPr>
        <a:xfrm>
          <a:off x="39856522"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4" name="Textfeld 3">
          <a:extLst>
            <a:ext uri="{FF2B5EF4-FFF2-40B4-BE49-F238E27FC236}">
              <a16:creationId xmlns:a16="http://schemas.microsoft.com/office/drawing/2014/main" id="{7B9B9E42-4850-4200-8DCF-2BCCC3CF4788}"/>
            </a:ext>
          </a:extLst>
        </xdr:cNvPr>
        <xdr:cNvSpPr txBox="1"/>
      </xdr:nvSpPr>
      <xdr:spPr>
        <a:xfrm>
          <a:off x="39856522"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1.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C00-000002000000}"/>
            </a:ext>
          </a:extLst>
        </xdr:cNvPr>
        <xdr:cNvSpPr txBox="1"/>
      </xdr:nvSpPr>
      <xdr:spPr>
        <a:xfrm>
          <a:off x="39856522"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3" name="Textfeld 2">
          <a:extLst>
            <a:ext uri="{FF2B5EF4-FFF2-40B4-BE49-F238E27FC236}">
              <a16:creationId xmlns:a16="http://schemas.microsoft.com/office/drawing/2014/main" id="{00000000-0008-0000-0C00-000003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4" name="Textfeld 3">
          <a:extLst>
            <a:ext uri="{FF2B5EF4-FFF2-40B4-BE49-F238E27FC236}">
              <a16:creationId xmlns:a16="http://schemas.microsoft.com/office/drawing/2014/main" id="{10BF0421-E112-4830-94D3-A2392A6B4C9E}"/>
            </a:ext>
          </a:extLst>
        </xdr:cNvPr>
        <xdr:cNvSpPr txBox="1"/>
      </xdr:nvSpPr>
      <xdr:spPr>
        <a:xfrm>
          <a:off x="39856522"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2.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0D00-000002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0D00-000003000000}"/>
            </a:ext>
          </a:extLst>
        </xdr:cNvPr>
        <xdr:cNvSpPr txBox="1"/>
      </xdr:nvSpPr>
      <xdr:spPr>
        <a:xfrm>
          <a:off x="39856522" y="2314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3.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E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E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4" name="Textfeld 3">
          <a:extLst>
            <a:ext uri="{FF2B5EF4-FFF2-40B4-BE49-F238E27FC236}">
              <a16:creationId xmlns:a16="http://schemas.microsoft.com/office/drawing/2014/main" id="{716AC08F-A30F-4AF6-8E3D-ACF5AD2B6D32}"/>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9</xdr:row>
      <xdr:rowOff>0</xdr:rowOff>
    </xdr:from>
    <xdr:ext cx="2286000" cy="264560"/>
    <xdr:sp macro="" textlink="">
      <xdr:nvSpPr>
        <xdr:cNvPr id="5" name="Textfeld 4">
          <a:extLst>
            <a:ext uri="{FF2B5EF4-FFF2-40B4-BE49-F238E27FC236}">
              <a16:creationId xmlns:a16="http://schemas.microsoft.com/office/drawing/2014/main" id="{188470B5-13FB-4640-9F3D-A9D2BE014957}"/>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9</xdr:row>
      <xdr:rowOff>0</xdr:rowOff>
    </xdr:from>
    <xdr:ext cx="2286000" cy="264560"/>
    <xdr:sp macro="" textlink="">
      <xdr:nvSpPr>
        <xdr:cNvPr id="6" name="Textfeld 5">
          <a:extLst>
            <a:ext uri="{FF2B5EF4-FFF2-40B4-BE49-F238E27FC236}">
              <a16:creationId xmlns:a16="http://schemas.microsoft.com/office/drawing/2014/main" id="{5DB797A7-3D13-481A-BAB8-A76FBEDE91E7}"/>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7" name="Textfeld 6">
          <a:extLst>
            <a:ext uri="{FF2B5EF4-FFF2-40B4-BE49-F238E27FC236}">
              <a16:creationId xmlns:a16="http://schemas.microsoft.com/office/drawing/2014/main" id="{27A45A87-6116-492F-A3E2-8B1663D3B479}"/>
            </a:ext>
          </a:extLst>
        </xdr:cNvPr>
        <xdr:cNvSpPr txBox="1"/>
      </xdr:nvSpPr>
      <xdr:spPr>
        <a:xfrm>
          <a:off x="40075597"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8" name="Textfeld 7">
          <a:extLst>
            <a:ext uri="{FF2B5EF4-FFF2-40B4-BE49-F238E27FC236}">
              <a16:creationId xmlns:a16="http://schemas.microsoft.com/office/drawing/2014/main" id="{BF0E188E-5BE5-42D3-A33C-DDD93621BCFE}"/>
            </a:ext>
          </a:extLst>
        </xdr:cNvPr>
        <xdr:cNvSpPr txBox="1"/>
      </xdr:nvSpPr>
      <xdr:spPr>
        <a:xfrm>
          <a:off x="40075597"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9" name="Textfeld 8">
          <a:extLst>
            <a:ext uri="{FF2B5EF4-FFF2-40B4-BE49-F238E27FC236}">
              <a16:creationId xmlns:a16="http://schemas.microsoft.com/office/drawing/2014/main" id="{FC8C1E5F-0964-4A45-A247-2FAC4A2F3258}"/>
            </a:ext>
          </a:extLst>
        </xdr:cNvPr>
        <xdr:cNvSpPr txBox="1"/>
      </xdr:nvSpPr>
      <xdr:spPr>
        <a:xfrm>
          <a:off x="40075597"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10" name="Textfeld 9">
          <a:extLst>
            <a:ext uri="{FF2B5EF4-FFF2-40B4-BE49-F238E27FC236}">
              <a16:creationId xmlns:a16="http://schemas.microsoft.com/office/drawing/2014/main" id="{A56FBE0A-4528-4D6F-9F26-F1804F3AC74D}"/>
            </a:ext>
          </a:extLst>
        </xdr:cNvPr>
        <xdr:cNvSpPr txBox="1"/>
      </xdr:nvSpPr>
      <xdr:spPr>
        <a:xfrm>
          <a:off x="40075597"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11" name="Textfeld 10">
          <a:extLst>
            <a:ext uri="{FF2B5EF4-FFF2-40B4-BE49-F238E27FC236}">
              <a16:creationId xmlns:a16="http://schemas.microsoft.com/office/drawing/2014/main" id="{3010EBEA-FF64-4E42-AF00-4FFB94BC1126}"/>
            </a:ext>
          </a:extLst>
        </xdr:cNvPr>
        <xdr:cNvSpPr txBox="1"/>
      </xdr:nvSpPr>
      <xdr:spPr>
        <a:xfrm>
          <a:off x="40075597"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12" name="Textfeld 11">
          <a:extLst>
            <a:ext uri="{FF2B5EF4-FFF2-40B4-BE49-F238E27FC236}">
              <a16:creationId xmlns:a16="http://schemas.microsoft.com/office/drawing/2014/main" id="{CE083F65-0ED8-462C-A52A-0385A502F2C2}"/>
            </a:ext>
          </a:extLst>
        </xdr:cNvPr>
        <xdr:cNvSpPr txBox="1"/>
      </xdr:nvSpPr>
      <xdr:spPr>
        <a:xfrm>
          <a:off x="40075597"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13" name="Textfeld 12">
          <a:extLst>
            <a:ext uri="{FF2B5EF4-FFF2-40B4-BE49-F238E27FC236}">
              <a16:creationId xmlns:a16="http://schemas.microsoft.com/office/drawing/2014/main" id="{65967033-8C23-42A7-98D2-66A6FE446455}"/>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14" name="Textfeld 13">
          <a:extLst>
            <a:ext uri="{FF2B5EF4-FFF2-40B4-BE49-F238E27FC236}">
              <a16:creationId xmlns:a16="http://schemas.microsoft.com/office/drawing/2014/main" id="{A874F505-9B1B-4241-A8AA-50062FFF26E7}"/>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15" name="Textfeld 14">
          <a:extLst>
            <a:ext uri="{FF2B5EF4-FFF2-40B4-BE49-F238E27FC236}">
              <a16:creationId xmlns:a16="http://schemas.microsoft.com/office/drawing/2014/main" id="{6B77FF0F-0E77-4A22-8855-7918371534F3}"/>
            </a:ext>
          </a:extLst>
        </xdr:cNvPr>
        <xdr:cNvSpPr txBox="1"/>
      </xdr:nvSpPr>
      <xdr:spPr>
        <a:xfrm>
          <a:off x="40075597"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16" name="Textfeld 15">
          <a:extLst>
            <a:ext uri="{FF2B5EF4-FFF2-40B4-BE49-F238E27FC236}">
              <a16:creationId xmlns:a16="http://schemas.microsoft.com/office/drawing/2014/main" id="{40DE146E-B156-45EA-BDA6-F9C3BB4734CA}"/>
            </a:ext>
          </a:extLst>
        </xdr:cNvPr>
        <xdr:cNvSpPr txBox="1"/>
      </xdr:nvSpPr>
      <xdr:spPr>
        <a:xfrm>
          <a:off x="40075597"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21</xdr:row>
      <xdr:rowOff>0</xdr:rowOff>
    </xdr:from>
    <xdr:ext cx="2286000" cy="264560"/>
    <xdr:sp macro="" textlink="">
      <xdr:nvSpPr>
        <xdr:cNvPr id="17" name="Textfeld 16">
          <a:extLst>
            <a:ext uri="{FF2B5EF4-FFF2-40B4-BE49-F238E27FC236}">
              <a16:creationId xmlns:a16="http://schemas.microsoft.com/office/drawing/2014/main" id="{ABAB4340-D749-4147-B213-E5EA81583D31}"/>
            </a:ext>
          </a:extLst>
        </xdr:cNvPr>
        <xdr:cNvSpPr txBox="1"/>
      </xdr:nvSpPr>
      <xdr:spPr>
        <a:xfrm>
          <a:off x="40075597" y="364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21</xdr:row>
      <xdr:rowOff>0</xdr:rowOff>
    </xdr:from>
    <xdr:ext cx="2286000" cy="264560"/>
    <xdr:sp macro="" textlink="">
      <xdr:nvSpPr>
        <xdr:cNvPr id="18" name="Textfeld 17">
          <a:extLst>
            <a:ext uri="{FF2B5EF4-FFF2-40B4-BE49-F238E27FC236}">
              <a16:creationId xmlns:a16="http://schemas.microsoft.com/office/drawing/2014/main" id="{C32843BB-9BDA-46ED-847F-288B428E660F}"/>
            </a:ext>
          </a:extLst>
        </xdr:cNvPr>
        <xdr:cNvSpPr txBox="1"/>
      </xdr:nvSpPr>
      <xdr:spPr>
        <a:xfrm>
          <a:off x="40075597" y="364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4.xml><?xml version="1.0" encoding="utf-8"?>
<xdr:wsDr xmlns:xdr="http://schemas.openxmlformats.org/drawingml/2006/spreadsheetDrawing" xmlns:a="http://schemas.openxmlformats.org/drawingml/2006/main">
  <xdr:oneCellAnchor>
    <xdr:from>
      <xdr:col>34</xdr:col>
      <xdr:colOff>699247</xdr:colOff>
      <xdr:row>6</xdr:row>
      <xdr:rowOff>0</xdr:rowOff>
    </xdr:from>
    <xdr:ext cx="2286000" cy="264560"/>
    <xdr:sp macro="" textlink="">
      <xdr:nvSpPr>
        <xdr:cNvPr id="2" name="Textfeld 1">
          <a:extLst>
            <a:ext uri="{FF2B5EF4-FFF2-40B4-BE49-F238E27FC236}">
              <a16:creationId xmlns:a16="http://schemas.microsoft.com/office/drawing/2014/main" id="{00000000-0008-0000-0F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8</xdr:row>
      <xdr:rowOff>0</xdr:rowOff>
    </xdr:from>
    <xdr:ext cx="2286000" cy="264560"/>
    <xdr:sp macro="" textlink="">
      <xdr:nvSpPr>
        <xdr:cNvPr id="3" name="Textfeld 2">
          <a:extLst>
            <a:ext uri="{FF2B5EF4-FFF2-40B4-BE49-F238E27FC236}">
              <a16:creationId xmlns:a16="http://schemas.microsoft.com/office/drawing/2014/main" id="{00000000-0008-0000-0F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xdr:row>
      <xdr:rowOff>0</xdr:rowOff>
    </xdr:from>
    <xdr:ext cx="2286000" cy="264560"/>
    <xdr:sp macro="" textlink="">
      <xdr:nvSpPr>
        <xdr:cNvPr id="4" name="Textfeld 3">
          <a:extLst>
            <a:ext uri="{FF2B5EF4-FFF2-40B4-BE49-F238E27FC236}">
              <a16:creationId xmlns:a16="http://schemas.microsoft.com/office/drawing/2014/main" id="{F67DD5B3-A223-462A-B573-AC00A07A2C92}"/>
            </a:ext>
          </a:extLst>
        </xdr:cNvPr>
        <xdr:cNvSpPr txBox="1"/>
      </xdr:nvSpPr>
      <xdr:spPr>
        <a:xfrm>
          <a:off x="40075597"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xdr:row>
      <xdr:rowOff>0</xdr:rowOff>
    </xdr:from>
    <xdr:ext cx="2286000" cy="264560"/>
    <xdr:sp macro="" textlink="">
      <xdr:nvSpPr>
        <xdr:cNvPr id="5" name="Textfeld 4">
          <a:extLst>
            <a:ext uri="{FF2B5EF4-FFF2-40B4-BE49-F238E27FC236}">
              <a16:creationId xmlns:a16="http://schemas.microsoft.com/office/drawing/2014/main" id="{6CFF8A95-F015-4D7F-9A2C-C509D5A7F9D6}"/>
            </a:ext>
          </a:extLst>
        </xdr:cNvPr>
        <xdr:cNvSpPr txBox="1"/>
      </xdr:nvSpPr>
      <xdr:spPr>
        <a:xfrm>
          <a:off x="40075597"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xdr:row>
      <xdr:rowOff>0</xdr:rowOff>
    </xdr:from>
    <xdr:ext cx="2286000" cy="264560"/>
    <xdr:sp macro="" textlink="">
      <xdr:nvSpPr>
        <xdr:cNvPr id="6" name="Textfeld 5">
          <a:extLst>
            <a:ext uri="{FF2B5EF4-FFF2-40B4-BE49-F238E27FC236}">
              <a16:creationId xmlns:a16="http://schemas.microsoft.com/office/drawing/2014/main" id="{BFA0996C-FB82-4036-9FF6-574B83156027}"/>
            </a:ext>
          </a:extLst>
        </xdr:cNvPr>
        <xdr:cNvSpPr txBox="1"/>
      </xdr:nvSpPr>
      <xdr:spPr>
        <a:xfrm>
          <a:off x="40075597" y="209550"/>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xdr:row>
      <xdr:rowOff>0</xdr:rowOff>
    </xdr:from>
    <xdr:ext cx="2286000" cy="264560"/>
    <xdr:sp macro="" textlink="">
      <xdr:nvSpPr>
        <xdr:cNvPr id="7" name="Textfeld 6">
          <a:extLst>
            <a:ext uri="{FF2B5EF4-FFF2-40B4-BE49-F238E27FC236}">
              <a16:creationId xmlns:a16="http://schemas.microsoft.com/office/drawing/2014/main" id="{B3E59D37-1475-432C-8A34-B3FC83E2CF7F}"/>
            </a:ext>
          </a:extLst>
        </xdr:cNvPr>
        <xdr:cNvSpPr txBox="1"/>
      </xdr:nvSpPr>
      <xdr:spPr>
        <a:xfrm>
          <a:off x="40075597" y="209550"/>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5</xdr:row>
      <xdr:rowOff>0</xdr:rowOff>
    </xdr:from>
    <xdr:ext cx="2286000" cy="264560"/>
    <xdr:sp macro="" textlink="">
      <xdr:nvSpPr>
        <xdr:cNvPr id="12" name="Textfeld 11">
          <a:extLst>
            <a:ext uri="{FF2B5EF4-FFF2-40B4-BE49-F238E27FC236}">
              <a16:creationId xmlns:a16="http://schemas.microsoft.com/office/drawing/2014/main" id="{4979ABD4-FF5E-4311-B9FE-51F6C652C160}"/>
            </a:ext>
          </a:extLst>
        </xdr:cNvPr>
        <xdr:cNvSpPr txBox="1"/>
      </xdr:nvSpPr>
      <xdr:spPr>
        <a:xfrm>
          <a:off x="40075597" y="600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5</xdr:row>
      <xdr:rowOff>0</xdr:rowOff>
    </xdr:from>
    <xdr:ext cx="2286000" cy="264560"/>
    <xdr:sp macro="" textlink="">
      <xdr:nvSpPr>
        <xdr:cNvPr id="13" name="Textfeld 12">
          <a:extLst>
            <a:ext uri="{FF2B5EF4-FFF2-40B4-BE49-F238E27FC236}">
              <a16:creationId xmlns:a16="http://schemas.microsoft.com/office/drawing/2014/main" id="{455EB39B-A98E-41C6-8EB6-91B0847FA8FD}"/>
            </a:ext>
          </a:extLst>
        </xdr:cNvPr>
        <xdr:cNvSpPr txBox="1"/>
      </xdr:nvSpPr>
      <xdr:spPr>
        <a:xfrm>
          <a:off x="40075597" y="600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8</xdr:row>
      <xdr:rowOff>0</xdr:rowOff>
    </xdr:from>
    <xdr:ext cx="2286000" cy="264560"/>
    <xdr:sp macro="" textlink="">
      <xdr:nvSpPr>
        <xdr:cNvPr id="14" name="Textfeld 13">
          <a:extLst>
            <a:ext uri="{FF2B5EF4-FFF2-40B4-BE49-F238E27FC236}">
              <a16:creationId xmlns:a16="http://schemas.microsoft.com/office/drawing/2014/main" id="{8384FAAE-7216-478B-AB70-D8B725EA4776}"/>
            </a:ext>
          </a:extLst>
        </xdr:cNvPr>
        <xdr:cNvSpPr txBox="1"/>
      </xdr:nvSpPr>
      <xdr:spPr>
        <a:xfrm>
          <a:off x="40075597" y="1171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15" name="Textfeld 14">
          <a:extLst>
            <a:ext uri="{FF2B5EF4-FFF2-40B4-BE49-F238E27FC236}">
              <a16:creationId xmlns:a16="http://schemas.microsoft.com/office/drawing/2014/main" id="{6E1430E7-CB0B-444D-812C-8E45E8C61BB5}"/>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16" name="Textfeld 15">
          <a:extLst>
            <a:ext uri="{FF2B5EF4-FFF2-40B4-BE49-F238E27FC236}">
              <a16:creationId xmlns:a16="http://schemas.microsoft.com/office/drawing/2014/main" id="{A99C2D7E-2EDA-49FF-BC5E-BA15F4502C0C}"/>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8</xdr:row>
      <xdr:rowOff>0</xdr:rowOff>
    </xdr:from>
    <xdr:ext cx="2286000" cy="264560"/>
    <xdr:sp macro="" textlink="">
      <xdr:nvSpPr>
        <xdr:cNvPr id="17" name="Textfeld 16">
          <a:extLst>
            <a:ext uri="{FF2B5EF4-FFF2-40B4-BE49-F238E27FC236}">
              <a16:creationId xmlns:a16="http://schemas.microsoft.com/office/drawing/2014/main" id="{1E0A3F5D-47F5-402E-9AAF-4AC8F2D362E1}"/>
            </a:ext>
          </a:extLst>
        </xdr:cNvPr>
        <xdr:cNvSpPr txBox="1"/>
      </xdr:nvSpPr>
      <xdr:spPr>
        <a:xfrm>
          <a:off x="40075597" y="1171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18" name="Textfeld 17">
          <a:extLst>
            <a:ext uri="{FF2B5EF4-FFF2-40B4-BE49-F238E27FC236}">
              <a16:creationId xmlns:a16="http://schemas.microsoft.com/office/drawing/2014/main" id="{965B209E-3DA9-4469-AE31-99EF88251E17}"/>
            </a:ext>
          </a:extLst>
        </xdr:cNvPr>
        <xdr:cNvSpPr txBox="1"/>
      </xdr:nvSpPr>
      <xdr:spPr>
        <a:xfrm>
          <a:off x="40075597"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19" name="Textfeld 18">
          <a:extLst>
            <a:ext uri="{FF2B5EF4-FFF2-40B4-BE49-F238E27FC236}">
              <a16:creationId xmlns:a16="http://schemas.microsoft.com/office/drawing/2014/main" id="{631EA24A-4C7C-4BA8-ACCC-B48AA78B07D0}"/>
            </a:ext>
          </a:extLst>
        </xdr:cNvPr>
        <xdr:cNvSpPr txBox="1"/>
      </xdr:nvSpPr>
      <xdr:spPr>
        <a:xfrm>
          <a:off x="40075597"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9</xdr:row>
      <xdr:rowOff>0</xdr:rowOff>
    </xdr:from>
    <xdr:ext cx="2286000" cy="264560"/>
    <xdr:sp macro="" textlink="">
      <xdr:nvSpPr>
        <xdr:cNvPr id="20" name="Textfeld 19">
          <a:extLst>
            <a:ext uri="{FF2B5EF4-FFF2-40B4-BE49-F238E27FC236}">
              <a16:creationId xmlns:a16="http://schemas.microsoft.com/office/drawing/2014/main" id="{4C8229BA-A233-465B-A8B1-90BD69144957}"/>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9</xdr:row>
      <xdr:rowOff>0</xdr:rowOff>
    </xdr:from>
    <xdr:ext cx="2286000" cy="264560"/>
    <xdr:sp macro="" textlink="">
      <xdr:nvSpPr>
        <xdr:cNvPr id="21" name="Textfeld 20">
          <a:extLst>
            <a:ext uri="{FF2B5EF4-FFF2-40B4-BE49-F238E27FC236}">
              <a16:creationId xmlns:a16="http://schemas.microsoft.com/office/drawing/2014/main" id="{9613F316-78FE-4484-9C5D-4FAEE2DF0D71}"/>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22" name="Textfeld 21">
          <a:extLst>
            <a:ext uri="{FF2B5EF4-FFF2-40B4-BE49-F238E27FC236}">
              <a16:creationId xmlns:a16="http://schemas.microsoft.com/office/drawing/2014/main" id="{E9B3C162-E1DC-4261-BE00-76CD44CC874E}"/>
            </a:ext>
          </a:extLst>
        </xdr:cNvPr>
        <xdr:cNvSpPr txBox="1"/>
      </xdr:nvSpPr>
      <xdr:spPr>
        <a:xfrm>
          <a:off x="40075597"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23" name="Textfeld 22">
          <a:extLst>
            <a:ext uri="{FF2B5EF4-FFF2-40B4-BE49-F238E27FC236}">
              <a16:creationId xmlns:a16="http://schemas.microsoft.com/office/drawing/2014/main" id="{9B5F085D-E1C2-4891-92EB-6F1AC110E0FA}"/>
            </a:ext>
          </a:extLst>
        </xdr:cNvPr>
        <xdr:cNvSpPr txBox="1"/>
      </xdr:nvSpPr>
      <xdr:spPr>
        <a:xfrm>
          <a:off x="40075597"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24" name="Textfeld 23">
          <a:extLst>
            <a:ext uri="{FF2B5EF4-FFF2-40B4-BE49-F238E27FC236}">
              <a16:creationId xmlns:a16="http://schemas.microsoft.com/office/drawing/2014/main" id="{2E94DB74-54CE-4CF2-9E09-C5C4D0E90B3D}"/>
            </a:ext>
          </a:extLst>
        </xdr:cNvPr>
        <xdr:cNvSpPr txBox="1"/>
      </xdr:nvSpPr>
      <xdr:spPr>
        <a:xfrm>
          <a:off x="40075597"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25" name="Textfeld 24">
          <a:extLst>
            <a:ext uri="{FF2B5EF4-FFF2-40B4-BE49-F238E27FC236}">
              <a16:creationId xmlns:a16="http://schemas.microsoft.com/office/drawing/2014/main" id="{43DA843A-5605-4606-B14E-ACDA5740D596}"/>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26" name="Textfeld 25">
          <a:extLst>
            <a:ext uri="{FF2B5EF4-FFF2-40B4-BE49-F238E27FC236}">
              <a16:creationId xmlns:a16="http://schemas.microsoft.com/office/drawing/2014/main" id="{F39053EE-EC24-40FA-8B69-28B5AFC1C8E4}"/>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27" name="Textfeld 26">
          <a:extLst>
            <a:ext uri="{FF2B5EF4-FFF2-40B4-BE49-F238E27FC236}">
              <a16:creationId xmlns:a16="http://schemas.microsoft.com/office/drawing/2014/main" id="{0D03570F-0C41-4688-8D35-5C6A08080BDF}"/>
            </a:ext>
          </a:extLst>
        </xdr:cNvPr>
        <xdr:cNvSpPr txBox="1"/>
      </xdr:nvSpPr>
      <xdr:spPr>
        <a:xfrm>
          <a:off x="40075597"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28" name="Textfeld 27">
          <a:extLst>
            <a:ext uri="{FF2B5EF4-FFF2-40B4-BE49-F238E27FC236}">
              <a16:creationId xmlns:a16="http://schemas.microsoft.com/office/drawing/2014/main" id="{A8C239CA-A1B4-4750-A8A7-1DDDC9CC4DF8}"/>
            </a:ext>
          </a:extLst>
        </xdr:cNvPr>
        <xdr:cNvSpPr txBox="1"/>
      </xdr:nvSpPr>
      <xdr:spPr>
        <a:xfrm>
          <a:off x="40075597"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29" name="Textfeld 28">
          <a:extLst>
            <a:ext uri="{FF2B5EF4-FFF2-40B4-BE49-F238E27FC236}">
              <a16:creationId xmlns:a16="http://schemas.microsoft.com/office/drawing/2014/main" id="{1E04CF50-0B30-472B-96DE-05233901D9E3}"/>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30" name="Textfeld 29">
          <a:extLst>
            <a:ext uri="{FF2B5EF4-FFF2-40B4-BE49-F238E27FC236}">
              <a16:creationId xmlns:a16="http://schemas.microsoft.com/office/drawing/2014/main" id="{0C5B8680-DD33-47C9-9764-8A54133BC68A}"/>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31" name="Textfeld 30">
          <a:extLst>
            <a:ext uri="{FF2B5EF4-FFF2-40B4-BE49-F238E27FC236}">
              <a16:creationId xmlns:a16="http://schemas.microsoft.com/office/drawing/2014/main" id="{2CD63B9B-2784-477C-A643-D8248E76C896}"/>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32" name="Textfeld 31">
          <a:extLst>
            <a:ext uri="{FF2B5EF4-FFF2-40B4-BE49-F238E27FC236}">
              <a16:creationId xmlns:a16="http://schemas.microsoft.com/office/drawing/2014/main" id="{83D2FBA7-05A5-4604-8ACB-36A6FB279884}"/>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33" name="Textfeld 32">
          <a:extLst>
            <a:ext uri="{FF2B5EF4-FFF2-40B4-BE49-F238E27FC236}">
              <a16:creationId xmlns:a16="http://schemas.microsoft.com/office/drawing/2014/main" id="{32F7501C-BB6F-44EB-A0AA-3441B559DFA7}"/>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34" name="Textfeld 33">
          <a:extLst>
            <a:ext uri="{FF2B5EF4-FFF2-40B4-BE49-F238E27FC236}">
              <a16:creationId xmlns:a16="http://schemas.microsoft.com/office/drawing/2014/main" id="{1F7BFC26-85D2-4B6B-A6B6-7C98C8452959}"/>
            </a:ext>
          </a:extLst>
        </xdr:cNvPr>
        <xdr:cNvSpPr txBox="1"/>
      </xdr:nvSpPr>
      <xdr:spPr>
        <a:xfrm>
          <a:off x="40075597" y="2314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35" name="Textfeld 34">
          <a:extLst>
            <a:ext uri="{FF2B5EF4-FFF2-40B4-BE49-F238E27FC236}">
              <a16:creationId xmlns:a16="http://schemas.microsoft.com/office/drawing/2014/main" id="{2D3CD29D-7048-4582-804F-C8754D7C85D1}"/>
            </a:ext>
          </a:extLst>
        </xdr:cNvPr>
        <xdr:cNvSpPr txBox="1"/>
      </xdr:nvSpPr>
      <xdr:spPr>
        <a:xfrm>
          <a:off x="40075597" y="2314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14</xdr:row>
      <xdr:rowOff>0</xdr:rowOff>
    </xdr:from>
    <xdr:ext cx="2286000" cy="264560"/>
    <xdr:sp macro="" textlink="">
      <xdr:nvSpPr>
        <xdr:cNvPr id="36" name="Textfeld 35">
          <a:extLst>
            <a:ext uri="{FF2B5EF4-FFF2-40B4-BE49-F238E27FC236}">
              <a16:creationId xmlns:a16="http://schemas.microsoft.com/office/drawing/2014/main" id="{568826C4-D320-451B-A578-7F70D3168596}"/>
            </a:ext>
          </a:extLst>
        </xdr:cNvPr>
        <xdr:cNvSpPr txBox="1"/>
      </xdr:nvSpPr>
      <xdr:spPr>
        <a:xfrm>
          <a:off x="40075597"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14</xdr:row>
      <xdr:rowOff>0</xdr:rowOff>
    </xdr:from>
    <xdr:ext cx="2286000" cy="264560"/>
    <xdr:sp macro="" textlink="">
      <xdr:nvSpPr>
        <xdr:cNvPr id="37" name="Textfeld 36">
          <a:extLst>
            <a:ext uri="{FF2B5EF4-FFF2-40B4-BE49-F238E27FC236}">
              <a16:creationId xmlns:a16="http://schemas.microsoft.com/office/drawing/2014/main" id="{36517225-B102-45DE-ADEA-8D3F61F85C10}"/>
            </a:ext>
          </a:extLst>
        </xdr:cNvPr>
        <xdr:cNvSpPr txBox="1"/>
      </xdr:nvSpPr>
      <xdr:spPr>
        <a:xfrm>
          <a:off x="40075597"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38" name="Textfeld 37">
          <a:extLst>
            <a:ext uri="{FF2B5EF4-FFF2-40B4-BE49-F238E27FC236}">
              <a16:creationId xmlns:a16="http://schemas.microsoft.com/office/drawing/2014/main" id="{253FE684-7A16-4CCC-A938-91D6D94D9FC7}"/>
            </a:ext>
          </a:extLst>
        </xdr:cNvPr>
        <xdr:cNvSpPr txBox="1"/>
      </xdr:nvSpPr>
      <xdr:spPr>
        <a:xfrm>
          <a:off x="40075597"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39" name="Textfeld 38">
          <a:extLst>
            <a:ext uri="{FF2B5EF4-FFF2-40B4-BE49-F238E27FC236}">
              <a16:creationId xmlns:a16="http://schemas.microsoft.com/office/drawing/2014/main" id="{EB147082-343C-4078-94F7-BCC6A90825DC}"/>
            </a:ext>
          </a:extLst>
        </xdr:cNvPr>
        <xdr:cNvSpPr txBox="1"/>
      </xdr:nvSpPr>
      <xdr:spPr>
        <a:xfrm>
          <a:off x="40075597"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40" name="Textfeld 39">
          <a:extLst>
            <a:ext uri="{FF2B5EF4-FFF2-40B4-BE49-F238E27FC236}">
              <a16:creationId xmlns:a16="http://schemas.microsoft.com/office/drawing/2014/main" id="{4BAA48F2-D4F9-48AC-92FF-95ACF4646603}"/>
            </a:ext>
          </a:extLst>
        </xdr:cNvPr>
        <xdr:cNvSpPr txBox="1"/>
      </xdr:nvSpPr>
      <xdr:spPr>
        <a:xfrm>
          <a:off x="40075597"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41" name="Textfeld 40">
          <a:extLst>
            <a:ext uri="{FF2B5EF4-FFF2-40B4-BE49-F238E27FC236}">
              <a16:creationId xmlns:a16="http://schemas.microsoft.com/office/drawing/2014/main" id="{D60B69E5-9151-4EC6-8AF2-F97846C88873}"/>
            </a:ext>
          </a:extLst>
        </xdr:cNvPr>
        <xdr:cNvSpPr txBox="1"/>
      </xdr:nvSpPr>
      <xdr:spPr>
        <a:xfrm>
          <a:off x="40075597"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42" name="Textfeld 41">
          <a:extLst>
            <a:ext uri="{FF2B5EF4-FFF2-40B4-BE49-F238E27FC236}">
              <a16:creationId xmlns:a16="http://schemas.microsoft.com/office/drawing/2014/main" id="{E82632F8-07AF-46AF-8183-C91CBECF252F}"/>
            </a:ext>
          </a:extLst>
        </xdr:cNvPr>
        <xdr:cNvSpPr txBox="1"/>
      </xdr:nvSpPr>
      <xdr:spPr>
        <a:xfrm>
          <a:off x="40075597"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43" name="Textfeld 42">
          <a:extLst>
            <a:ext uri="{FF2B5EF4-FFF2-40B4-BE49-F238E27FC236}">
              <a16:creationId xmlns:a16="http://schemas.microsoft.com/office/drawing/2014/main" id="{115039E0-E58A-46A2-8991-07E5819E9B2C}"/>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44" name="Textfeld 43">
          <a:extLst>
            <a:ext uri="{FF2B5EF4-FFF2-40B4-BE49-F238E27FC236}">
              <a16:creationId xmlns:a16="http://schemas.microsoft.com/office/drawing/2014/main" id="{7F8BBA3D-4E3E-45F0-B24E-9825AD2CC43C}"/>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16</xdr:row>
      <xdr:rowOff>0</xdr:rowOff>
    </xdr:from>
    <xdr:ext cx="2286000" cy="264560"/>
    <xdr:sp macro="" textlink="">
      <xdr:nvSpPr>
        <xdr:cNvPr id="45" name="Textfeld 44">
          <a:extLst>
            <a:ext uri="{FF2B5EF4-FFF2-40B4-BE49-F238E27FC236}">
              <a16:creationId xmlns:a16="http://schemas.microsoft.com/office/drawing/2014/main" id="{C48DF1AB-51EB-4BC0-A2DA-795E61C1D121}"/>
            </a:ext>
          </a:extLst>
        </xdr:cNvPr>
        <xdr:cNvSpPr txBox="1"/>
      </xdr:nvSpPr>
      <xdr:spPr>
        <a:xfrm>
          <a:off x="40075597" y="2695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16</xdr:row>
      <xdr:rowOff>0</xdr:rowOff>
    </xdr:from>
    <xdr:ext cx="2286000" cy="264560"/>
    <xdr:sp macro="" textlink="">
      <xdr:nvSpPr>
        <xdr:cNvPr id="46" name="Textfeld 45">
          <a:extLst>
            <a:ext uri="{FF2B5EF4-FFF2-40B4-BE49-F238E27FC236}">
              <a16:creationId xmlns:a16="http://schemas.microsoft.com/office/drawing/2014/main" id="{91DE0E3E-D121-49AF-84A4-38D65C9E66D4}"/>
            </a:ext>
          </a:extLst>
        </xdr:cNvPr>
        <xdr:cNvSpPr txBox="1"/>
      </xdr:nvSpPr>
      <xdr:spPr>
        <a:xfrm>
          <a:off x="40075597" y="2695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47" name="Textfeld 46">
          <a:extLst>
            <a:ext uri="{FF2B5EF4-FFF2-40B4-BE49-F238E27FC236}">
              <a16:creationId xmlns:a16="http://schemas.microsoft.com/office/drawing/2014/main" id="{EFDE279D-78EC-4D0E-89B0-E8B27329E813}"/>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48" name="Textfeld 47">
          <a:extLst>
            <a:ext uri="{FF2B5EF4-FFF2-40B4-BE49-F238E27FC236}">
              <a16:creationId xmlns:a16="http://schemas.microsoft.com/office/drawing/2014/main" id="{B3270C09-B65A-4DB4-B710-0BB7E1CBC47C}"/>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49" name="Textfeld 48">
          <a:extLst>
            <a:ext uri="{FF2B5EF4-FFF2-40B4-BE49-F238E27FC236}">
              <a16:creationId xmlns:a16="http://schemas.microsoft.com/office/drawing/2014/main" id="{0F68D052-6065-44C6-A2ED-B26A06242179}"/>
            </a:ext>
          </a:extLst>
        </xdr:cNvPr>
        <xdr:cNvSpPr txBox="1"/>
      </xdr:nvSpPr>
      <xdr:spPr>
        <a:xfrm>
          <a:off x="40075597" y="2695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50" name="Textfeld 49">
          <a:extLst>
            <a:ext uri="{FF2B5EF4-FFF2-40B4-BE49-F238E27FC236}">
              <a16:creationId xmlns:a16="http://schemas.microsoft.com/office/drawing/2014/main" id="{9A0939C9-0ED0-4E5A-83D7-EB11A3D60298}"/>
            </a:ext>
          </a:extLst>
        </xdr:cNvPr>
        <xdr:cNvSpPr txBox="1"/>
      </xdr:nvSpPr>
      <xdr:spPr>
        <a:xfrm>
          <a:off x="40075597" y="2695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51" name="Textfeld 50">
          <a:extLst>
            <a:ext uri="{FF2B5EF4-FFF2-40B4-BE49-F238E27FC236}">
              <a16:creationId xmlns:a16="http://schemas.microsoft.com/office/drawing/2014/main" id="{52468DA5-C97D-4B84-8957-36CF15B3C494}"/>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52" name="Textfeld 51">
          <a:extLst>
            <a:ext uri="{FF2B5EF4-FFF2-40B4-BE49-F238E27FC236}">
              <a16:creationId xmlns:a16="http://schemas.microsoft.com/office/drawing/2014/main" id="{03021509-0B33-49F7-823C-6B70B4A7AB54}"/>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53" name="Textfeld 52">
          <a:extLst>
            <a:ext uri="{FF2B5EF4-FFF2-40B4-BE49-F238E27FC236}">
              <a16:creationId xmlns:a16="http://schemas.microsoft.com/office/drawing/2014/main" id="{D640823E-DDFD-4FCA-BBAE-D64D29728870}"/>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54" name="Textfeld 53">
          <a:extLst>
            <a:ext uri="{FF2B5EF4-FFF2-40B4-BE49-F238E27FC236}">
              <a16:creationId xmlns:a16="http://schemas.microsoft.com/office/drawing/2014/main" id="{4BD7E3B1-9AD1-49F6-9F41-227EF03E0705}"/>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55" name="Textfeld 54">
          <a:extLst>
            <a:ext uri="{FF2B5EF4-FFF2-40B4-BE49-F238E27FC236}">
              <a16:creationId xmlns:a16="http://schemas.microsoft.com/office/drawing/2014/main" id="{7108DB0C-08AE-4234-9625-51A37066AB17}"/>
            </a:ext>
          </a:extLst>
        </xdr:cNvPr>
        <xdr:cNvSpPr txBox="1"/>
      </xdr:nvSpPr>
      <xdr:spPr>
        <a:xfrm>
          <a:off x="40075597"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20</xdr:row>
      <xdr:rowOff>0</xdr:rowOff>
    </xdr:from>
    <xdr:ext cx="2286000" cy="264560"/>
    <xdr:sp macro="" textlink="">
      <xdr:nvSpPr>
        <xdr:cNvPr id="56" name="Textfeld 55">
          <a:extLst>
            <a:ext uri="{FF2B5EF4-FFF2-40B4-BE49-F238E27FC236}">
              <a16:creationId xmlns:a16="http://schemas.microsoft.com/office/drawing/2014/main" id="{DF9F802A-7E78-4383-960A-8CE908546928}"/>
            </a:ext>
          </a:extLst>
        </xdr:cNvPr>
        <xdr:cNvSpPr txBox="1"/>
      </xdr:nvSpPr>
      <xdr:spPr>
        <a:xfrm>
          <a:off x="40075597"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20</xdr:row>
      <xdr:rowOff>0</xdr:rowOff>
    </xdr:from>
    <xdr:ext cx="2286000" cy="264560"/>
    <xdr:sp macro="" textlink="">
      <xdr:nvSpPr>
        <xdr:cNvPr id="57" name="Textfeld 56">
          <a:extLst>
            <a:ext uri="{FF2B5EF4-FFF2-40B4-BE49-F238E27FC236}">
              <a16:creationId xmlns:a16="http://schemas.microsoft.com/office/drawing/2014/main" id="{51871BA2-7147-4B45-919B-3115BFC84038}"/>
            </a:ext>
          </a:extLst>
        </xdr:cNvPr>
        <xdr:cNvSpPr txBox="1"/>
      </xdr:nvSpPr>
      <xdr:spPr>
        <a:xfrm>
          <a:off x="40075597"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58" name="Textfeld 57">
          <a:extLst>
            <a:ext uri="{FF2B5EF4-FFF2-40B4-BE49-F238E27FC236}">
              <a16:creationId xmlns:a16="http://schemas.microsoft.com/office/drawing/2014/main" id="{F47A661C-75A1-4156-929B-2D9ABBCED6F7}"/>
            </a:ext>
          </a:extLst>
        </xdr:cNvPr>
        <xdr:cNvSpPr txBox="1"/>
      </xdr:nvSpPr>
      <xdr:spPr>
        <a:xfrm>
          <a:off x="40075597" y="3076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59" name="Textfeld 58">
          <a:extLst>
            <a:ext uri="{FF2B5EF4-FFF2-40B4-BE49-F238E27FC236}">
              <a16:creationId xmlns:a16="http://schemas.microsoft.com/office/drawing/2014/main" id="{65EA2F29-9FFE-4917-AA14-1644AE3B8BD4}"/>
            </a:ext>
          </a:extLst>
        </xdr:cNvPr>
        <xdr:cNvSpPr txBox="1"/>
      </xdr:nvSpPr>
      <xdr:spPr>
        <a:xfrm>
          <a:off x="40075597" y="3076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60" name="Textfeld 59">
          <a:extLst>
            <a:ext uri="{FF2B5EF4-FFF2-40B4-BE49-F238E27FC236}">
              <a16:creationId xmlns:a16="http://schemas.microsoft.com/office/drawing/2014/main" id="{2B12FACF-C2D9-473E-95FD-6BF60433E15A}"/>
            </a:ext>
          </a:extLst>
        </xdr:cNvPr>
        <xdr:cNvSpPr txBox="1"/>
      </xdr:nvSpPr>
      <xdr:spPr>
        <a:xfrm>
          <a:off x="40075597" y="345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61" name="Textfeld 60">
          <a:extLst>
            <a:ext uri="{FF2B5EF4-FFF2-40B4-BE49-F238E27FC236}">
              <a16:creationId xmlns:a16="http://schemas.microsoft.com/office/drawing/2014/main" id="{BFF8E146-B04E-4F58-9E91-DE2305B4797F}"/>
            </a:ext>
          </a:extLst>
        </xdr:cNvPr>
        <xdr:cNvSpPr txBox="1"/>
      </xdr:nvSpPr>
      <xdr:spPr>
        <a:xfrm>
          <a:off x="40075597" y="345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62" name="Textfeld 61">
          <a:extLst>
            <a:ext uri="{FF2B5EF4-FFF2-40B4-BE49-F238E27FC236}">
              <a16:creationId xmlns:a16="http://schemas.microsoft.com/office/drawing/2014/main" id="{BFA84040-F1D4-44F4-B257-A5EF30B66771}"/>
            </a:ext>
          </a:extLst>
        </xdr:cNvPr>
        <xdr:cNvSpPr txBox="1"/>
      </xdr:nvSpPr>
      <xdr:spPr>
        <a:xfrm>
          <a:off x="40075597" y="345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63" name="Textfeld 62">
          <a:extLst>
            <a:ext uri="{FF2B5EF4-FFF2-40B4-BE49-F238E27FC236}">
              <a16:creationId xmlns:a16="http://schemas.microsoft.com/office/drawing/2014/main" id="{65E1AC0A-5556-490B-ADF9-55463E08758C}"/>
            </a:ext>
          </a:extLst>
        </xdr:cNvPr>
        <xdr:cNvSpPr txBox="1"/>
      </xdr:nvSpPr>
      <xdr:spPr>
        <a:xfrm>
          <a:off x="40075597" y="345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64" name="Textfeld 63">
          <a:extLst>
            <a:ext uri="{FF2B5EF4-FFF2-40B4-BE49-F238E27FC236}">
              <a16:creationId xmlns:a16="http://schemas.microsoft.com/office/drawing/2014/main" id="{13B416C8-6CC2-41BE-890E-F6BA8ACCCB8F}"/>
            </a:ext>
          </a:extLst>
        </xdr:cNvPr>
        <xdr:cNvSpPr txBox="1"/>
      </xdr:nvSpPr>
      <xdr:spPr>
        <a:xfrm>
          <a:off x="40075597" y="345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65" name="Textfeld 64">
          <a:extLst>
            <a:ext uri="{FF2B5EF4-FFF2-40B4-BE49-F238E27FC236}">
              <a16:creationId xmlns:a16="http://schemas.microsoft.com/office/drawing/2014/main" id="{36C1FAA3-20A2-4856-AAE9-021464174334}"/>
            </a:ext>
          </a:extLst>
        </xdr:cNvPr>
        <xdr:cNvSpPr txBox="1"/>
      </xdr:nvSpPr>
      <xdr:spPr>
        <a:xfrm>
          <a:off x="40075597" y="345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66" name="Textfeld 65">
          <a:extLst>
            <a:ext uri="{FF2B5EF4-FFF2-40B4-BE49-F238E27FC236}">
              <a16:creationId xmlns:a16="http://schemas.microsoft.com/office/drawing/2014/main" id="{EC208D63-27A6-4E1D-9409-E0D6453C9FDB}"/>
            </a:ext>
          </a:extLst>
        </xdr:cNvPr>
        <xdr:cNvSpPr txBox="1"/>
      </xdr:nvSpPr>
      <xdr:spPr>
        <a:xfrm>
          <a:off x="40075597" y="345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20</xdr:row>
      <xdr:rowOff>0</xdr:rowOff>
    </xdr:from>
    <xdr:ext cx="2286000" cy="264560"/>
    <xdr:sp macro="" textlink="">
      <xdr:nvSpPr>
        <xdr:cNvPr id="67" name="Textfeld 66">
          <a:extLst>
            <a:ext uri="{FF2B5EF4-FFF2-40B4-BE49-F238E27FC236}">
              <a16:creationId xmlns:a16="http://schemas.microsoft.com/office/drawing/2014/main" id="{9D34F8BD-3F38-424A-8CA8-69CCEDA08C5C}"/>
            </a:ext>
          </a:extLst>
        </xdr:cNvPr>
        <xdr:cNvSpPr txBox="1"/>
      </xdr:nvSpPr>
      <xdr:spPr>
        <a:xfrm>
          <a:off x="40075597" y="364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20</xdr:row>
      <xdr:rowOff>0</xdr:rowOff>
    </xdr:from>
    <xdr:ext cx="2286000" cy="264560"/>
    <xdr:sp macro="" textlink="">
      <xdr:nvSpPr>
        <xdr:cNvPr id="68" name="Textfeld 67">
          <a:extLst>
            <a:ext uri="{FF2B5EF4-FFF2-40B4-BE49-F238E27FC236}">
              <a16:creationId xmlns:a16="http://schemas.microsoft.com/office/drawing/2014/main" id="{E25CD917-9F08-4B20-BE8F-734C5F5BE997}"/>
            </a:ext>
          </a:extLst>
        </xdr:cNvPr>
        <xdr:cNvSpPr txBox="1"/>
      </xdr:nvSpPr>
      <xdr:spPr>
        <a:xfrm>
          <a:off x="40075597" y="364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5.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0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0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6.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1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1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8</xdr:row>
      <xdr:rowOff>0</xdr:rowOff>
    </xdr:from>
    <xdr:ext cx="2286000" cy="264560"/>
    <xdr:sp macro="" textlink="">
      <xdr:nvSpPr>
        <xdr:cNvPr id="4" name="Textfeld 3">
          <a:extLst>
            <a:ext uri="{FF2B5EF4-FFF2-40B4-BE49-F238E27FC236}">
              <a16:creationId xmlns:a16="http://schemas.microsoft.com/office/drawing/2014/main" id="{5DF487F7-4752-453F-89BB-3478A4C7AC64}"/>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5" name="Textfeld 4">
          <a:extLst>
            <a:ext uri="{FF2B5EF4-FFF2-40B4-BE49-F238E27FC236}">
              <a16:creationId xmlns:a16="http://schemas.microsoft.com/office/drawing/2014/main" id="{DFD4CD05-5A33-4054-AAFC-110F5D1EEB19}"/>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14</xdr:row>
      <xdr:rowOff>0</xdr:rowOff>
    </xdr:from>
    <xdr:ext cx="2286000" cy="264560"/>
    <xdr:sp macro="" textlink="">
      <xdr:nvSpPr>
        <xdr:cNvPr id="6" name="Textfeld 5">
          <a:extLst>
            <a:ext uri="{FF2B5EF4-FFF2-40B4-BE49-F238E27FC236}">
              <a16:creationId xmlns:a16="http://schemas.microsoft.com/office/drawing/2014/main" id="{D83A20D8-7941-47C8-8ECF-9231E0DD0A4D}"/>
            </a:ext>
          </a:extLst>
        </xdr:cNvPr>
        <xdr:cNvSpPr txBox="1"/>
      </xdr:nvSpPr>
      <xdr:spPr>
        <a:xfrm>
          <a:off x="40075597"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7" name="Textfeld 6">
          <a:extLst>
            <a:ext uri="{FF2B5EF4-FFF2-40B4-BE49-F238E27FC236}">
              <a16:creationId xmlns:a16="http://schemas.microsoft.com/office/drawing/2014/main" id="{885C39A6-20AE-4138-89EA-7504DA3F8E19}"/>
            </a:ext>
          </a:extLst>
        </xdr:cNvPr>
        <xdr:cNvSpPr txBox="1"/>
      </xdr:nvSpPr>
      <xdr:spPr>
        <a:xfrm>
          <a:off x="40075597"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30</xdr:row>
      <xdr:rowOff>0</xdr:rowOff>
    </xdr:from>
    <xdr:ext cx="2286000" cy="264560"/>
    <xdr:sp macro="" textlink="">
      <xdr:nvSpPr>
        <xdr:cNvPr id="8" name="Textfeld 7">
          <a:extLst>
            <a:ext uri="{FF2B5EF4-FFF2-40B4-BE49-F238E27FC236}">
              <a16:creationId xmlns:a16="http://schemas.microsoft.com/office/drawing/2014/main" id="{81BAABA3-0F87-4611-95D7-AC58837ACC4C}"/>
            </a:ext>
          </a:extLst>
        </xdr:cNvPr>
        <xdr:cNvSpPr txBox="1"/>
      </xdr:nvSpPr>
      <xdr:spPr>
        <a:xfrm>
          <a:off x="40075597" y="2695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32</xdr:row>
      <xdr:rowOff>0</xdr:rowOff>
    </xdr:from>
    <xdr:ext cx="2286000" cy="264560"/>
    <xdr:sp macro="" textlink="">
      <xdr:nvSpPr>
        <xdr:cNvPr id="9" name="Textfeld 8">
          <a:extLst>
            <a:ext uri="{FF2B5EF4-FFF2-40B4-BE49-F238E27FC236}">
              <a16:creationId xmlns:a16="http://schemas.microsoft.com/office/drawing/2014/main" id="{1E185303-3A2F-45A5-B032-5E759CD71A06}"/>
            </a:ext>
          </a:extLst>
        </xdr:cNvPr>
        <xdr:cNvSpPr txBox="1"/>
      </xdr:nvSpPr>
      <xdr:spPr>
        <a:xfrm>
          <a:off x="40075597"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33</xdr:row>
      <xdr:rowOff>0</xdr:rowOff>
    </xdr:from>
    <xdr:ext cx="2286000" cy="264560"/>
    <xdr:sp macro="" textlink="">
      <xdr:nvSpPr>
        <xdr:cNvPr id="10" name="Textfeld 9">
          <a:extLst>
            <a:ext uri="{FF2B5EF4-FFF2-40B4-BE49-F238E27FC236}">
              <a16:creationId xmlns:a16="http://schemas.microsoft.com/office/drawing/2014/main" id="{6AB93825-A234-4C3B-99A8-49342E36F336}"/>
            </a:ext>
          </a:extLst>
        </xdr:cNvPr>
        <xdr:cNvSpPr txBox="1"/>
      </xdr:nvSpPr>
      <xdr:spPr>
        <a:xfrm>
          <a:off x="40075597" y="574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33</xdr:row>
      <xdr:rowOff>0</xdr:rowOff>
    </xdr:from>
    <xdr:ext cx="2286000" cy="264560"/>
    <xdr:sp macro="" textlink="">
      <xdr:nvSpPr>
        <xdr:cNvPr id="11" name="Textfeld 10">
          <a:extLst>
            <a:ext uri="{FF2B5EF4-FFF2-40B4-BE49-F238E27FC236}">
              <a16:creationId xmlns:a16="http://schemas.microsoft.com/office/drawing/2014/main" id="{C9954149-632F-4A89-AEB3-F532C4973E59}"/>
            </a:ext>
          </a:extLst>
        </xdr:cNvPr>
        <xdr:cNvSpPr txBox="1"/>
      </xdr:nvSpPr>
      <xdr:spPr>
        <a:xfrm>
          <a:off x="40075597" y="6124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34</xdr:row>
      <xdr:rowOff>0</xdr:rowOff>
    </xdr:from>
    <xdr:ext cx="2286000" cy="264560"/>
    <xdr:sp macro="" textlink="">
      <xdr:nvSpPr>
        <xdr:cNvPr id="12" name="Textfeld 11">
          <a:extLst>
            <a:ext uri="{FF2B5EF4-FFF2-40B4-BE49-F238E27FC236}">
              <a16:creationId xmlns:a16="http://schemas.microsoft.com/office/drawing/2014/main" id="{14B25E3C-480B-4A93-9672-F7815C64229D}"/>
            </a:ext>
          </a:extLst>
        </xdr:cNvPr>
        <xdr:cNvSpPr txBox="1"/>
      </xdr:nvSpPr>
      <xdr:spPr>
        <a:xfrm>
          <a:off x="40075597" y="631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13" name="Textfeld 12">
          <a:extLst>
            <a:ext uri="{FF2B5EF4-FFF2-40B4-BE49-F238E27FC236}">
              <a16:creationId xmlns:a16="http://schemas.microsoft.com/office/drawing/2014/main" id="{06D776F3-E81E-40A8-A001-CA51E1D6515D}"/>
            </a:ext>
          </a:extLst>
        </xdr:cNvPr>
        <xdr:cNvSpPr txBox="1"/>
      </xdr:nvSpPr>
      <xdr:spPr>
        <a:xfrm>
          <a:off x="40075597"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14" name="Textfeld 13">
          <a:extLst>
            <a:ext uri="{FF2B5EF4-FFF2-40B4-BE49-F238E27FC236}">
              <a16:creationId xmlns:a16="http://schemas.microsoft.com/office/drawing/2014/main" id="{28E1864D-22C6-4287-B80A-863B46C29441}"/>
            </a:ext>
          </a:extLst>
        </xdr:cNvPr>
        <xdr:cNvSpPr txBox="1"/>
      </xdr:nvSpPr>
      <xdr:spPr>
        <a:xfrm>
          <a:off x="40075597" y="574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15" name="Textfeld 14">
          <a:extLst>
            <a:ext uri="{FF2B5EF4-FFF2-40B4-BE49-F238E27FC236}">
              <a16:creationId xmlns:a16="http://schemas.microsoft.com/office/drawing/2014/main" id="{45E7B118-625B-4317-93DC-D417EF46612E}"/>
            </a:ext>
          </a:extLst>
        </xdr:cNvPr>
        <xdr:cNvSpPr txBox="1"/>
      </xdr:nvSpPr>
      <xdr:spPr>
        <a:xfrm>
          <a:off x="40075597" y="6124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38</xdr:row>
      <xdr:rowOff>0</xdr:rowOff>
    </xdr:from>
    <xdr:ext cx="2286000" cy="264560"/>
    <xdr:sp macro="" textlink="">
      <xdr:nvSpPr>
        <xdr:cNvPr id="16" name="Textfeld 15">
          <a:extLst>
            <a:ext uri="{FF2B5EF4-FFF2-40B4-BE49-F238E27FC236}">
              <a16:creationId xmlns:a16="http://schemas.microsoft.com/office/drawing/2014/main" id="{238D499F-2863-477C-837D-CCAC12C36464}"/>
            </a:ext>
          </a:extLst>
        </xdr:cNvPr>
        <xdr:cNvSpPr txBox="1"/>
      </xdr:nvSpPr>
      <xdr:spPr>
        <a:xfrm>
          <a:off x="40075597" y="631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38</xdr:row>
      <xdr:rowOff>0</xdr:rowOff>
    </xdr:from>
    <xdr:ext cx="2286000" cy="264560"/>
    <xdr:sp macro="" textlink="">
      <xdr:nvSpPr>
        <xdr:cNvPr id="17" name="Textfeld 16">
          <a:extLst>
            <a:ext uri="{FF2B5EF4-FFF2-40B4-BE49-F238E27FC236}">
              <a16:creationId xmlns:a16="http://schemas.microsoft.com/office/drawing/2014/main" id="{644BAEA9-3F44-4C22-B054-3B25BB4753AF}"/>
            </a:ext>
          </a:extLst>
        </xdr:cNvPr>
        <xdr:cNvSpPr txBox="1"/>
      </xdr:nvSpPr>
      <xdr:spPr>
        <a:xfrm>
          <a:off x="40075597" y="631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18" name="Textfeld 17">
          <a:extLst>
            <a:ext uri="{FF2B5EF4-FFF2-40B4-BE49-F238E27FC236}">
              <a16:creationId xmlns:a16="http://schemas.microsoft.com/office/drawing/2014/main" id="{DB052D7F-EC68-46D5-9E7B-F09316906779}"/>
            </a:ext>
          </a:extLst>
        </xdr:cNvPr>
        <xdr:cNvSpPr txBox="1"/>
      </xdr:nvSpPr>
      <xdr:spPr>
        <a:xfrm>
          <a:off x="40075597" y="6505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40</xdr:row>
      <xdr:rowOff>0</xdr:rowOff>
    </xdr:from>
    <xdr:ext cx="2286000" cy="264560"/>
    <xdr:sp macro="" textlink="">
      <xdr:nvSpPr>
        <xdr:cNvPr id="19" name="Textfeld 18">
          <a:extLst>
            <a:ext uri="{FF2B5EF4-FFF2-40B4-BE49-F238E27FC236}">
              <a16:creationId xmlns:a16="http://schemas.microsoft.com/office/drawing/2014/main" id="{4593765A-6AE6-42D7-A6B6-AEB398BA4CC5}"/>
            </a:ext>
          </a:extLst>
        </xdr:cNvPr>
        <xdr:cNvSpPr txBox="1"/>
      </xdr:nvSpPr>
      <xdr:spPr>
        <a:xfrm>
          <a:off x="40075597"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38</xdr:row>
      <xdr:rowOff>0</xdr:rowOff>
    </xdr:from>
    <xdr:ext cx="2286000" cy="264560"/>
    <xdr:sp macro="" textlink="">
      <xdr:nvSpPr>
        <xdr:cNvPr id="20" name="Textfeld 19">
          <a:extLst>
            <a:ext uri="{FF2B5EF4-FFF2-40B4-BE49-F238E27FC236}">
              <a16:creationId xmlns:a16="http://schemas.microsoft.com/office/drawing/2014/main" id="{8D8BE7D2-17F2-473D-8E7A-ABB54E2EDC71}"/>
            </a:ext>
          </a:extLst>
        </xdr:cNvPr>
        <xdr:cNvSpPr txBox="1"/>
      </xdr:nvSpPr>
      <xdr:spPr>
        <a:xfrm>
          <a:off x="40075597"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21" name="Textfeld 20">
          <a:extLst>
            <a:ext uri="{FF2B5EF4-FFF2-40B4-BE49-F238E27FC236}">
              <a16:creationId xmlns:a16="http://schemas.microsoft.com/office/drawing/2014/main" id="{7881A97C-B31D-4F3F-97A7-0A9E1BCE43AC}"/>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22" name="Textfeld 21">
          <a:extLst>
            <a:ext uri="{FF2B5EF4-FFF2-40B4-BE49-F238E27FC236}">
              <a16:creationId xmlns:a16="http://schemas.microsoft.com/office/drawing/2014/main" id="{CD9FF87E-AA5F-4717-94C9-B2775C8CDADF}"/>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23" name="Textfeld 22">
          <a:extLst>
            <a:ext uri="{FF2B5EF4-FFF2-40B4-BE49-F238E27FC236}">
              <a16:creationId xmlns:a16="http://schemas.microsoft.com/office/drawing/2014/main" id="{3861D26A-03F7-4EB1-B52B-5B94BE7ED05E}"/>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24" name="Textfeld 23">
          <a:extLst>
            <a:ext uri="{FF2B5EF4-FFF2-40B4-BE49-F238E27FC236}">
              <a16:creationId xmlns:a16="http://schemas.microsoft.com/office/drawing/2014/main" id="{89D91936-F0F3-4463-A900-DAA32AF6640C}"/>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40</xdr:row>
      <xdr:rowOff>0</xdr:rowOff>
    </xdr:from>
    <xdr:ext cx="2286000" cy="264560"/>
    <xdr:sp macro="" textlink="">
      <xdr:nvSpPr>
        <xdr:cNvPr id="25" name="Textfeld 24">
          <a:extLst>
            <a:ext uri="{FF2B5EF4-FFF2-40B4-BE49-F238E27FC236}">
              <a16:creationId xmlns:a16="http://schemas.microsoft.com/office/drawing/2014/main" id="{8FB183F6-FA3A-4E21-95DE-E41D67C6DFFD}"/>
            </a:ext>
          </a:extLst>
        </xdr:cNvPr>
        <xdr:cNvSpPr txBox="1"/>
      </xdr:nvSpPr>
      <xdr:spPr>
        <a:xfrm>
          <a:off x="40075597"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26" name="Textfeld 25">
          <a:extLst>
            <a:ext uri="{FF2B5EF4-FFF2-40B4-BE49-F238E27FC236}">
              <a16:creationId xmlns:a16="http://schemas.microsoft.com/office/drawing/2014/main" id="{636B0BC4-8ED3-4522-B780-B8A753608B4B}"/>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40</xdr:row>
      <xdr:rowOff>0</xdr:rowOff>
    </xdr:from>
    <xdr:ext cx="2286000" cy="264560"/>
    <xdr:sp macro="" textlink="">
      <xdr:nvSpPr>
        <xdr:cNvPr id="27" name="Textfeld 26">
          <a:extLst>
            <a:ext uri="{FF2B5EF4-FFF2-40B4-BE49-F238E27FC236}">
              <a16:creationId xmlns:a16="http://schemas.microsoft.com/office/drawing/2014/main" id="{737E4F34-11A7-4948-92D4-DFDB3AAF0D2B}"/>
            </a:ext>
          </a:extLst>
        </xdr:cNvPr>
        <xdr:cNvSpPr txBox="1"/>
      </xdr:nvSpPr>
      <xdr:spPr>
        <a:xfrm>
          <a:off x="40075597"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40</xdr:row>
      <xdr:rowOff>0</xdr:rowOff>
    </xdr:from>
    <xdr:ext cx="2286000" cy="264560"/>
    <xdr:sp macro="" textlink="">
      <xdr:nvSpPr>
        <xdr:cNvPr id="28" name="Textfeld 27">
          <a:extLst>
            <a:ext uri="{FF2B5EF4-FFF2-40B4-BE49-F238E27FC236}">
              <a16:creationId xmlns:a16="http://schemas.microsoft.com/office/drawing/2014/main" id="{52D67003-0602-4682-A6D3-E5234213E230}"/>
            </a:ext>
          </a:extLst>
        </xdr:cNvPr>
        <xdr:cNvSpPr txBox="1"/>
      </xdr:nvSpPr>
      <xdr:spPr>
        <a:xfrm>
          <a:off x="40075597"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29" name="Textfeld 28">
          <a:extLst>
            <a:ext uri="{FF2B5EF4-FFF2-40B4-BE49-F238E27FC236}">
              <a16:creationId xmlns:a16="http://schemas.microsoft.com/office/drawing/2014/main" id="{EBF64B28-6139-4625-A3B5-CBA1B6031354}"/>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30" name="Textfeld 29">
          <a:extLst>
            <a:ext uri="{FF2B5EF4-FFF2-40B4-BE49-F238E27FC236}">
              <a16:creationId xmlns:a16="http://schemas.microsoft.com/office/drawing/2014/main" id="{FD10296D-9278-48D5-950A-458B88108B55}"/>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42</xdr:row>
      <xdr:rowOff>0</xdr:rowOff>
    </xdr:from>
    <xdr:ext cx="2286000" cy="264560"/>
    <xdr:sp macro="" textlink="">
      <xdr:nvSpPr>
        <xdr:cNvPr id="31" name="Textfeld 30">
          <a:extLst>
            <a:ext uri="{FF2B5EF4-FFF2-40B4-BE49-F238E27FC236}">
              <a16:creationId xmlns:a16="http://schemas.microsoft.com/office/drawing/2014/main" id="{03137477-1778-475B-8198-5B14776447D9}"/>
            </a:ext>
          </a:extLst>
        </xdr:cNvPr>
        <xdr:cNvSpPr txBox="1"/>
      </xdr:nvSpPr>
      <xdr:spPr>
        <a:xfrm>
          <a:off x="40075597"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43</xdr:row>
      <xdr:rowOff>0</xdr:rowOff>
    </xdr:from>
    <xdr:ext cx="2286000" cy="264560"/>
    <xdr:sp macro="" textlink="">
      <xdr:nvSpPr>
        <xdr:cNvPr id="32" name="Textfeld 31">
          <a:extLst>
            <a:ext uri="{FF2B5EF4-FFF2-40B4-BE49-F238E27FC236}">
              <a16:creationId xmlns:a16="http://schemas.microsoft.com/office/drawing/2014/main" id="{F55D84E2-4201-4C3C-B786-038DD019C0B6}"/>
            </a:ext>
          </a:extLst>
        </xdr:cNvPr>
        <xdr:cNvSpPr txBox="1"/>
      </xdr:nvSpPr>
      <xdr:spPr>
        <a:xfrm>
          <a:off x="40075597" y="7648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33" name="Textfeld 32">
          <a:extLst>
            <a:ext uri="{FF2B5EF4-FFF2-40B4-BE49-F238E27FC236}">
              <a16:creationId xmlns:a16="http://schemas.microsoft.com/office/drawing/2014/main" id="{BF15FB18-2D27-40EA-AC2F-4E8B7DA66D35}"/>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42</xdr:row>
      <xdr:rowOff>0</xdr:rowOff>
    </xdr:from>
    <xdr:ext cx="2286000" cy="264560"/>
    <xdr:sp macro="" textlink="">
      <xdr:nvSpPr>
        <xdr:cNvPr id="34" name="Textfeld 33">
          <a:extLst>
            <a:ext uri="{FF2B5EF4-FFF2-40B4-BE49-F238E27FC236}">
              <a16:creationId xmlns:a16="http://schemas.microsoft.com/office/drawing/2014/main" id="{D6948C2A-B4A4-473C-8901-19790A5C1B2A}"/>
            </a:ext>
          </a:extLst>
        </xdr:cNvPr>
        <xdr:cNvSpPr txBox="1"/>
      </xdr:nvSpPr>
      <xdr:spPr>
        <a:xfrm>
          <a:off x="40075597"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42</xdr:row>
      <xdr:rowOff>0</xdr:rowOff>
    </xdr:from>
    <xdr:ext cx="2286000" cy="264560"/>
    <xdr:sp macro="" textlink="">
      <xdr:nvSpPr>
        <xdr:cNvPr id="35" name="Textfeld 34">
          <a:extLst>
            <a:ext uri="{FF2B5EF4-FFF2-40B4-BE49-F238E27FC236}">
              <a16:creationId xmlns:a16="http://schemas.microsoft.com/office/drawing/2014/main" id="{E79D9AB0-E018-49D3-8D79-D79E23DD72D6}"/>
            </a:ext>
          </a:extLst>
        </xdr:cNvPr>
        <xdr:cNvSpPr txBox="1"/>
      </xdr:nvSpPr>
      <xdr:spPr>
        <a:xfrm>
          <a:off x="40075597"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42</xdr:row>
      <xdr:rowOff>0</xdr:rowOff>
    </xdr:from>
    <xdr:ext cx="2286000" cy="264560"/>
    <xdr:sp macro="" textlink="">
      <xdr:nvSpPr>
        <xdr:cNvPr id="36" name="Textfeld 35">
          <a:extLst>
            <a:ext uri="{FF2B5EF4-FFF2-40B4-BE49-F238E27FC236}">
              <a16:creationId xmlns:a16="http://schemas.microsoft.com/office/drawing/2014/main" id="{301CB11B-86C7-41BC-93D3-DE52F0B73719}"/>
            </a:ext>
          </a:extLst>
        </xdr:cNvPr>
        <xdr:cNvSpPr txBox="1"/>
      </xdr:nvSpPr>
      <xdr:spPr>
        <a:xfrm>
          <a:off x="40075597"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42</xdr:row>
      <xdr:rowOff>0</xdr:rowOff>
    </xdr:from>
    <xdr:ext cx="2286000" cy="264560"/>
    <xdr:sp macro="" textlink="">
      <xdr:nvSpPr>
        <xdr:cNvPr id="37" name="Textfeld 36">
          <a:extLst>
            <a:ext uri="{FF2B5EF4-FFF2-40B4-BE49-F238E27FC236}">
              <a16:creationId xmlns:a16="http://schemas.microsoft.com/office/drawing/2014/main" id="{A979BB90-42F7-42B2-85EF-385F946917B4}"/>
            </a:ext>
          </a:extLst>
        </xdr:cNvPr>
        <xdr:cNvSpPr txBox="1"/>
      </xdr:nvSpPr>
      <xdr:spPr>
        <a:xfrm>
          <a:off x="40075597"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43</xdr:row>
      <xdr:rowOff>0</xdr:rowOff>
    </xdr:from>
    <xdr:ext cx="2286000" cy="264560"/>
    <xdr:sp macro="" textlink="">
      <xdr:nvSpPr>
        <xdr:cNvPr id="38" name="Textfeld 37">
          <a:extLst>
            <a:ext uri="{FF2B5EF4-FFF2-40B4-BE49-F238E27FC236}">
              <a16:creationId xmlns:a16="http://schemas.microsoft.com/office/drawing/2014/main" id="{8E541653-6772-4327-B1B9-4A9DE79E1F14}"/>
            </a:ext>
          </a:extLst>
        </xdr:cNvPr>
        <xdr:cNvSpPr txBox="1"/>
      </xdr:nvSpPr>
      <xdr:spPr>
        <a:xfrm>
          <a:off x="40075597" y="7648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42</xdr:row>
      <xdr:rowOff>0</xdr:rowOff>
    </xdr:from>
    <xdr:ext cx="2286000" cy="264560"/>
    <xdr:sp macro="" textlink="">
      <xdr:nvSpPr>
        <xdr:cNvPr id="39" name="Textfeld 38">
          <a:extLst>
            <a:ext uri="{FF2B5EF4-FFF2-40B4-BE49-F238E27FC236}">
              <a16:creationId xmlns:a16="http://schemas.microsoft.com/office/drawing/2014/main" id="{6A81B0CE-83AC-4D5D-A317-0BFD5D6B8884}"/>
            </a:ext>
          </a:extLst>
        </xdr:cNvPr>
        <xdr:cNvSpPr txBox="1"/>
      </xdr:nvSpPr>
      <xdr:spPr>
        <a:xfrm>
          <a:off x="40075597"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43</xdr:row>
      <xdr:rowOff>0</xdr:rowOff>
    </xdr:from>
    <xdr:ext cx="2286000" cy="264560"/>
    <xdr:sp macro="" textlink="">
      <xdr:nvSpPr>
        <xdr:cNvPr id="40" name="Textfeld 39">
          <a:extLst>
            <a:ext uri="{FF2B5EF4-FFF2-40B4-BE49-F238E27FC236}">
              <a16:creationId xmlns:a16="http://schemas.microsoft.com/office/drawing/2014/main" id="{08571BDC-D369-4A23-B351-1558194346CB}"/>
            </a:ext>
          </a:extLst>
        </xdr:cNvPr>
        <xdr:cNvSpPr txBox="1"/>
      </xdr:nvSpPr>
      <xdr:spPr>
        <a:xfrm>
          <a:off x="40075597" y="7648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43</xdr:row>
      <xdr:rowOff>0</xdr:rowOff>
    </xdr:from>
    <xdr:ext cx="2286000" cy="264560"/>
    <xdr:sp macro="" textlink="">
      <xdr:nvSpPr>
        <xdr:cNvPr id="41" name="Textfeld 40">
          <a:extLst>
            <a:ext uri="{FF2B5EF4-FFF2-40B4-BE49-F238E27FC236}">
              <a16:creationId xmlns:a16="http://schemas.microsoft.com/office/drawing/2014/main" id="{D96660A1-B5C0-404B-98CB-100AC6142E97}"/>
            </a:ext>
          </a:extLst>
        </xdr:cNvPr>
        <xdr:cNvSpPr txBox="1"/>
      </xdr:nvSpPr>
      <xdr:spPr>
        <a:xfrm>
          <a:off x="40075597" y="7648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7.xml><?xml version="1.0" encoding="utf-8"?>
<xdr:wsDr xmlns:xdr="http://schemas.openxmlformats.org/drawingml/2006/spreadsheetDrawing" xmlns:a="http://schemas.openxmlformats.org/drawingml/2006/main">
  <xdr:oneCellAnchor>
    <xdr:from>
      <xdr:col>34</xdr:col>
      <xdr:colOff>699247</xdr:colOff>
      <xdr:row>6</xdr:row>
      <xdr:rowOff>0</xdr:rowOff>
    </xdr:from>
    <xdr:ext cx="2286000" cy="264560"/>
    <xdr:sp macro="" textlink="">
      <xdr:nvSpPr>
        <xdr:cNvPr id="2" name="Textfeld 1">
          <a:extLst>
            <a:ext uri="{FF2B5EF4-FFF2-40B4-BE49-F238E27FC236}">
              <a16:creationId xmlns:a16="http://schemas.microsoft.com/office/drawing/2014/main" id="{00000000-0008-0000-12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6</xdr:row>
      <xdr:rowOff>0</xdr:rowOff>
    </xdr:from>
    <xdr:ext cx="2286000" cy="264560"/>
    <xdr:sp macro="" textlink="">
      <xdr:nvSpPr>
        <xdr:cNvPr id="3" name="Textfeld 2">
          <a:extLst>
            <a:ext uri="{FF2B5EF4-FFF2-40B4-BE49-F238E27FC236}">
              <a16:creationId xmlns:a16="http://schemas.microsoft.com/office/drawing/2014/main" id="{00000000-0008-0000-12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8.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3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3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8</xdr:row>
      <xdr:rowOff>0</xdr:rowOff>
    </xdr:from>
    <xdr:ext cx="2286000" cy="264560"/>
    <xdr:sp macro="" textlink="">
      <xdr:nvSpPr>
        <xdr:cNvPr id="4" name="Textfeld 3">
          <a:extLst>
            <a:ext uri="{FF2B5EF4-FFF2-40B4-BE49-F238E27FC236}">
              <a16:creationId xmlns:a16="http://schemas.microsoft.com/office/drawing/2014/main" id="{72BF1806-3409-449A-9D99-490CF88F96EA}"/>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8</xdr:row>
      <xdr:rowOff>0</xdr:rowOff>
    </xdr:from>
    <xdr:ext cx="2286000" cy="264560"/>
    <xdr:sp macro="" textlink="">
      <xdr:nvSpPr>
        <xdr:cNvPr id="5" name="Textfeld 4">
          <a:extLst>
            <a:ext uri="{FF2B5EF4-FFF2-40B4-BE49-F238E27FC236}">
              <a16:creationId xmlns:a16="http://schemas.microsoft.com/office/drawing/2014/main" id="{EF412A68-8C9F-45C7-83B9-46E86346DBB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9</xdr:row>
      <xdr:rowOff>0</xdr:rowOff>
    </xdr:from>
    <xdr:ext cx="2286000" cy="264560"/>
    <xdr:sp macro="" textlink="">
      <xdr:nvSpPr>
        <xdr:cNvPr id="6" name="Textfeld 5">
          <a:extLst>
            <a:ext uri="{FF2B5EF4-FFF2-40B4-BE49-F238E27FC236}">
              <a16:creationId xmlns:a16="http://schemas.microsoft.com/office/drawing/2014/main" id="{5CD9109A-389A-4FB8-B778-E74047D9487A}"/>
            </a:ext>
          </a:extLst>
        </xdr:cNvPr>
        <xdr:cNvSpPr txBox="1"/>
      </xdr:nvSpPr>
      <xdr:spPr>
        <a:xfrm>
          <a:off x="40075597"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19.xml><?xml version="1.0" encoding="utf-8"?>
<xdr:wsDr xmlns:xdr="http://schemas.openxmlformats.org/drawingml/2006/spreadsheetDrawing" xmlns:a="http://schemas.openxmlformats.org/drawingml/2006/main">
  <xdr:oneCellAnchor>
    <xdr:from>
      <xdr:col>34</xdr:col>
      <xdr:colOff>699247</xdr:colOff>
      <xdr:row>7</xdr:row>
      <xdr:rowOff>0</xdr:rowOff>
    </xdr:from>
    <xdr:ext cx="2286000" cy="264560"/>
    <xdr:sp macro="" textlink="">
      <xdr:nvSpPr>
        <xdr:cNvPr id="2" name="Textfeld 1">
          <a:extLst>
            <a:ext uri="{FF2B5EF4-FFF2-40B4-BE49-F238E27FC236}">
              <a16:creationId xmlns:a16="http://schemas.microsoft.com/office/drawing/2014/main" id="{00000000-0008-0000-14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14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12</xdr:row>
      <xdr:rowOff>0</xdr:rowOff>
    </xdr:from>
    <xdr:ext cx="2286000" cy="264560"/>
    <xdr:sp macro="" textlink="">
      <xdr:nvSpPr>
        <xdr:cNvPr id="4" name="Textfeld 3">
          <a:extLst>
            <a:ext uri="{FF2B5EF4-FFF2-40B4-BE49-F238E27FC236}">
              <a16:creationId xmlns:a16="http://schemas.microsoft.com/office/drawing/2014/main" id="{00000000-0008-0000-1400-000004000000}"/>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0</xdr:col>
      <xdr:colOff>78441</xdr:colOff>
      <xdr:row>0</xdr:row>
      <xdr:rowOff>112058</xdr:rowOff>
    </xdr:from>
    <xdr:to>
      <xdr:col>16</xdr:col>
      <xdr:colOff>276917</xdr:colOff>
      <xdr:row>34</xdr:row>
      <xdr:rowOff>78176</xdr:rowOff>
    </xdr:to>
    <xdr:pic>
      <xdr:nvPicPr>
        <xdr:cNvPr id="2" name="Grafik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8441" y="112058"/>
          <a:ext cx="12390476" cy="6595518"/>
        </a:xfrm>
        <a:prstGeom prst="rect">
          <a:avLst/>
        </a:prstGeom>
        <a:ln>
          <a:solidFill>
            <a:sysClr val="windowText" lastClr="000000"/>
          </a:solidFill>
        </a:ln>
      </xdr:spPr>
    </xdr:pic>
    <xdr:clientData/>
  </xdr:twoCellAnchor>
  <xdr:twoCellAnchor>
    <xdr:from>
      <xdr:col>8</xdr:col>
      <xdr:colOff>268940</xdr:colOff>
      <xdr:row>1</xdr:row>
      <xdr:rowOff>0</xdr:rowOff>
    </xdr:from>
    <xdr:to>
      <xdr:col>9</xdr:col>
      <xdr:colOff>11205</xdr:colOff>
      <xdr:row>2</xdr:row>
      <xdr:rowOff>120996</xdr:rowOff>
    </xdr:to>
    <xdr:sp macro="" textlink="">
      <xdr:nvSpPr>
        <xdr:cNvPr id="4" name="Textfeld 3">
          <a:extLst>
            <a:ext uri="{FF2B5EF4-FFF2-40B4-BE49-F238E27FC236}">
              <a16:creationId xmlns:a16="http://schemas.microsoft.com/office/drawing/2014/main" id="{00000000-0008-0000-0200-000004000000}"/>
            </a:ext>
          </a:extLst>
        </xdr:cNvPr>
        <xdr:cNvSpPr txBox="1"/>
      </xdr:nvSpPr>
      <xdr:spPr>
        <a:xfrm>
          <a:off x="6364940" y="190500"/>
          <a:ext cx="504265"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N/0°</a:t>
          </a:r>
        </a:p>
      </xdr:txBody>
    </xdr:sp>
    <xdr:clientData/>
  </xdr:twoCellAnchor>
  <xdr:twoCellAnchor>
    <xdr:from>
      <xdr:col>15</xdr:col>
      <xdr:colOff>448234</xdr:colOff>
      <xdr:row>18</xdr:row>
      <xdr:rowOff>22412</xdr:rowOff>
    </xdr:from>
    <xdr:to>
      <xdr:col>16</xdr:col>
      <xdr:colOff>224117</xdr:colOff>
      <xdr:row>19</xdr:row>
      <xdr:rowOff>64967</xdr:rowOff>
    </xdr:to>
    <xdr:sp macro="" textlink="">
      <xdr:nvSpPr>
        <xdr:cNvPr id="5" name="Textfeld 4">
          <a:extLst>
            <a:ext uri="{FF2B5EF4-FFF2-40B4-BE49-F238E27FC236}">
              <a16:creationId xmlns:a16="http://schemas.microsoft.com/office/drawing/2014/main" id="{00000000-0008-0000-0200-000005000000}"/>
            </a:ext>
          </a:extLst>
        </xdr:cNvPr>
        <xdr:cNvSpPr txBox="1"/>
      </xdr:nvSpPr>
      <xdr:spPr>
        <a:xfrm>
          <a:off x="11878234" y="3451412"/>
          <a:ext cx="537883"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E/90°</a:t>
          </a:r>
        </a:p>
      </xdr:txBody>
    </xdr:sp>
    <xdr:clientData/>
  </xdr:twoCellAnchor>
  <xdr:twoCellAnchor>
    <xdr:from>
      <xdr:col>8</xdr:col>
      <xdr:colOff>56030</xdr:colOff>
      <xdr:row>33</xdr:row>
      <xdr:rowOff>22413</xdr:rowOff>
    </xdr:from>
    <xdr:to>
      <xdr:col>8</xdr:col>
      <xdr:colOff>739588</xdr:colOff>
      <xdr:row>34</xdr:row>
      <xdr:rowOff>143409</xdr:rowOff>
    </xdr:to>
    <xdr:sp macro="" textlink="">
      <xdr:nvSpPr>
        <xdr:cNvPr id="6" name="Textfeld 5">
          <a:extLst>
            <a:ext uri="{FF2B5EF4-FFF2-40B4-BE49-F238E27FC236}">
              <a16:creationId xmlns:a16="http://schemas.microsoft.com/office/drawing/2014/main" id="{00000000-0008-0000-0200-000006000000}"/>
            </a:ext>
          </a:extLst>
        </xdr:cNvPr>
        <xdr:cNvSpPr txBox="1"/>
      </xdr:nvSpPr>
      <xdr:spPr>
        <a:xfrm>
          <a:off x="6152030" y="6465795"/>
          <a:ext cx="683558"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S/180°</a:t>
          </a:r>
        </a:p>
      </xdr:txBody>
    </xdr:sp>
    <xdr:clientData/>
  </xdr:twoCellAnchor>
  <xdr:twoCellAnchor>
    <xdr:from>
      <xdr:col>0</xdr:col>
      <xdr:colOff>78442</xdr:colOff>
      <xdr:row>17</xdr:row>
      <xdr:rowOff>100854</xdr:rowOff>
    </xdr:from>
    <xdr:to>
      <xdr:col>0</xdr:col>
      <xdr:colOff>750794</xdr:colOff>
      <xdr:row>18</xdr:row>
      <xdr:rowOff>221850</xdr:rowOff>
    </xdr:to>
    <xdr:sp macro="" textlink="">
      <xdr:nvSpPr>
        <xdr:cNvPr id="7" name="Textfeld 6">
          <a:extLst>
            <a:ext uri="{FF2B5EF4-FFF2-40B4-BE49-F238E27FC236}">
              <a16:creationId xmlns:a16="http://schemas.microsoft.com/office/drawing/2014/main" id="{00000000-0008-0000-0200-000007000000}"/>
            </a:ext>
          </a:extLst>
        </xdr:cNvPr>
        <xdr:cNvSpPr txBox="1"/>
      </xdr:nvSpPr>
      <xdr:spPr>
        <a:xfrm>
          <a:off x="78442" y="3339354"/>
          <a:ext cx="672352" cy="31149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W/270°</a:t>
          </a:r>
        </a:p>
      </xdr:txBody>
    </xdr:sp>
    <xdr:clientData/>
  </xdr:twoCellAnchor>
  <xdr:twoCellAnchor>
    <xdr:from>
      <xdr:col>0</xdr:col>
      <xdr:colOff>280147</xdr:colOff>
      <xdr:row>22</xdr:row>
      <xdr:rowOff>33617</xdr:rowOff>
    </xdr:from>
    <xdr:to>
      <xdr:col>1</xdr:col>
      <xdr:colOff>448235</xdr:colOff>
      <xdr:row>32</xdr:row>
      <xdr:rowOff>168087</xdr:rowOff>
    </xdr:to>
    <xdr:sp macro="" textlink="">
      <xdr:nvSpPr>
        <xdr:cNvPr id="8" name="Rechteck 7">
          <a:extLst>
            <a:ext uri="{FF2B5EF4-FFF2-40B4-BE49-F238E27FC236}">
              <a16:creationId xmlns:a16="http://schemas.microsoft.com/office/drawing/2014/main" id="{00000000-0008-0000-0200-000008000000}"/>
            </a:ext>
          </a:extLst>
        </xdr:cNvPr>
        <xdr:cNvSpPr/>
      </xdr:nvSpPr>
      <xdr:spPr>
        <a:xfrm>
          <a:off x="280147"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728383</xdr:colOff>
      <xdr:row>22</xdr:row>
      <xdr:rowOff>56030</xdr:rowOff>
    </xdr:from>
    <xdr:to>
      <xdr:col>4</xdr:col>
      <xdr:colOff>134471</xdr:colOff>
      <xdr:row>33</xdr:row>
      <xdr:rowOff>11205</xdr:rowOff>
    </xdr:to>
    <xdr:sp macro="" textlink="">
      <xdr:nvSpPr>
        <xdr:cNvPr id="9" name="Rechteck 8">
          <a:extLst>
            <a:ext uri="{FF2B5EF4-FFF2-40B4-BE49-F238E27FC236}">
              <a16:creationId xmlns:a16="http://schemas.microsoft.com/office/drawing/2014/main" id="{00000000-0008-0000-0200-000009000000}"/>
            </a:ext>
          </a:extLst>
        </xdr:cNvPr>
        <xdr:cNvSpPr/>
      </xdr:nvSpPr>
      <xdr:spPr>
        <a:xfrm>
          <a:off x="2252383" y="4325471"/>
          <a:ext cx="930088" cy="2129116"/>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414618</xdr:colOff>
      <xdr:row>22</xdr:row>
      <xdr:rowOff>44823</xdr:rowOff>
    </xdr:from>
    <xdr:to>
      <xdr:col>6</xdr:col>
      <xdr:colOff>582706</xdr:colOff>
      <xdr:row>32</xdr:row>
      <xdr:rowOff>168087</xdr:rowOff>
    </xdr:to>
    <xdr:sp macro="" textlink="">
      <xdr:nvSpPr>
        <xdr:cNvPr id="10" name="Rechteck 9">
          <a:extLst>
            <a:ext uri="{FF2B5EF4-FFF2-40B4-BE49-F238E27FC236}">
              <a16:creationId xmlns:a16="http://schemas.microsoft.com/office/drawing/2014/main" id="{00000000-0008-0000-0200-00000A000000}"/>
            </a:ext>
          </a:extLst>
        </xdr:cNvPr>
        <xdr:cNvSpPr/>
      </xdr:nvSpPr>
      <xdr:spPr>
        <a:xfrm>
          <a:off x="4224618" y="4314264"/>
          <a:ext cx="930088" cy="2106705"/>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112059</xdr:colOff>
      <xdr:row>22</xdr:row>
      <xdr:rowOff>33617</xdr:rowOff>
    </xdr:from>
    <xdr:to>
      <xdr:col>9</xdr:col>
      <xdr:colOff>280147</xdr:colOff>
      <xdr:row>32</xdr:row>
      <xdr:rowOff>168087</xdr:rowOff>
    </xdr:to>
    <xdr:sp macro="" textlink="">
      <xdr:nvSpPr>
        <xdr:cNvPr id="11" name="Rechteck 10">
          <a:extLst>
            <a:ext uri="{FF2B5EF4-FFF2-40B4-BE49-F238E27FC236}">
              <a16:creationId xmlns:a16="http://schemas.microsoft.com/office/drawing/2014/main" id="{00000000-0008-0000-0200-00000B000000}"/>
            </a:ext>
          </a:extLst>
        </xdr:cNvPr>
        <xdr:cNvSpPr/>
      </xdr:nvSpPr>
      <xdr:spPr>
        <a:xfrm>
          <a:off x="6208059" y="4303058"/>
          <a:ext cx="930088" cy="2117911"/>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10</xdr:col>
      <xdr:colOff>593912</xdr:colOff>
      <xdr:row>22</xdr:row>
      <xdr:rowOff>67235</xdr:rowOff>
    </xdr:from>
    <xdr:to>
      <xdr:col>12</xdr:col>
      <xdr:colOff>0</xdr:colOff>
      <xdr:row>32</xdr:row>
      <xdr:rowOff>179293</xdr:rowOff>
    </xdr:to>
    <xdr:sp macro="" textlink="">
      <xdr:nvSpPr>
        <xdr:cNvPr id="12" name="Rechteck 11">
          <a:extLst>
            <a:ext uri="{FF2B5EF4-FFF2-40B4-BE49-F238E27FC236}">
              <a16:creationId xmlns:a16="http://schemas.microsoft.com/office/drawing/2014/main" id="{00000000-0008-0000-0200-00000C000000}"/>
            </a:ext>
          </a:extLst>
        </xdr:cNvPr>
        <xdr:cNvSpPr/>
      </xdr:nvSpPr>
      <xdr:spPr>
        <a:xfrm>
          <a:off x="8213912" y="4336676"/>
          <a:ext cx="930088" cy="2095499"/>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268942</xdr:colOff>
      <xdr:row>22</xdr:row>
      <xdr:rowOff>56029</xdr:rowOff>
    </xdr:from>
    <xdr:to>
      <xdr:col>14</xdr:col>
      <xdr:colOff>437030</xdr:colOff>
      <xdr:row>33</xdr:row>
      <xdr:rowOff>11205</xdr:rowOff>
    </xdr:to>
    <xdr:sp macro="" textlink="">
      <xdr:nvSpPr>
        <xdr:cNvPr id="13" name="Rechteck 12">
          <a:extLst>
            <a:ext uri="{FF2B5EF4-FFF2-40B4-BE49-F238E27FC236}">
              <a16:creationId xmlns:a16="http://schemas.microsoft.com/office/drawing/2014/main" id="{00000000-0008-0000-0200-00000D000000}"/>
            </a:ext>
          </a:extLst>
        </xdr:cNvPr>
        <xdr:cNvSpPr/>
      </xdr:nvSpPr>
      <xdr:spPr>
        <a:xfrm>
          <a:off x="10174942" y="4325470"/>
          <a:ext cx="930088" cy="2129117"/>
        </a:xfrm>
        <a:prstGeom prst="rect">
          <a:avLst/>
        </a:prstGeom>
        <a:solidFill>
          <a:schemeClr val="accent1">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78441</xdr:colOff>
      <xdr:row>14</xdr:row>
      <xdr:rowOff>168088</xdr:rowOff>
    </xdr:from>
    <xdr:to>
      <xdr:col>2</xdr:col>
      <xdr:colOff>100852</xdr:colOff>
      <xdr:row>21</xdr:row>
      <xdr:rowOff>56028</xdr:rowOff>
    </xdr:to>
    <xdr:sp macro="" textlink="">
      <xdr:nvSpPr>
        <xdr:cNvPr id="14" name="Rechteck 13">
          <a:extLst>
            <a:ext uri="{FF2B5EF4-FFF2-40B4-BE49-F238E27FC236}">
              <a16:creationId xmlns:a16="http://schemas.microsoft.com/office/drawing/2014/main" id="{00000000-0008-0000-0200-00000E000000}"/>
            </a:ext>
          </a:extLst>
        </xdr:cNvPr>
        <xdr:cNvSpPr/>
      </xdr:nvSpPr>
      <xdr:spPr>
        <a:xfrm>
          <a:off x="840441" y="2835088"/>
          <a:ext cx="78441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750794</xdr:colOff>
      <xdr:row>14</xdr:row>
      <xdr:rowOff>179293</xdr:rowOff>
    </xdr:from>
    <xdr:to>
      <xdr:col>4</xdr:col>
      <xdr:colOff>638735</xdr:colOff>
      <xdr:row>21</xdr:row>
      <xdr:rowOff>67233</xdr:rowOff>
    </xdr:to>
    <xdr:sp macro="" textlink="">
      <xdr:nvSpPr>
        <xdr:cNvPr id="16" name="Rechteck 15">
          <a:extLst>
            <a:ext uri="{FF2B5EF4-FFF2-40B4-BE49-F238E27FC236}">
              <a16:creationId xmlns:a16="http://schemas.microsoft.com/office/drawing/2014/main" id="{00000000-0008-0000-0200-000010000000}"/>
            </a:ext>
          </a:extLst>
        </xdr:cNvPr>
        <xdr:cNvSpPr/>
      </xdr:nvSpPr>
      <xdr:spPr>
        <a:xfrm>
          <a:off x="3036794" y="2846293"/>
          <a:ext cx="649941"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7</xdr:col>
      <xdr:colOff>56028</xdr:colOff>
      <xdr:row>14</xdr:row>
      <xdr:rowOff>179293</xdr:rowOff>
    </xdr:from>
    <xdr:to>
      <xdr:col>8</xdr:col>
      <xdr:colOff>100853</xdr:colOff>
      <xdr:row>21</xdr:row>
      <xdr:rowOff>67233</xdr:rowOff>
    </xdr:to>
    <xdr:sp macro="" textlink="">
      <xdr:nvSpPr>
        <xdr:cNvPr id="17" name="Rechteck 16">
          <a:extLst>
            <a:ext uri="{FF2B5EF4-FFF2-40B4-BE49-F238E27FC236}">
              <a16:creationId xmlns:a16="http://schemas.microsoft.com/office/drawing/2014/main" id="{00000000-0008-0000-0200-000011000000}"/>
            </a:ext>
          </a:extLst>
        </xdr:cNvPr>
        <xdr:cNvSpPr/>
      </xdr:nvSpPr>
      <xdr:spPr>
        <a:xfrm>
          <a:off x="5390028"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11</xdr:col>
      <xdr:colOff>324970</xdr:colOff>
      <xdr:row>14</xdr:row>
      <xdr:rowOff>179294</xdr:rowOff>
    </xdr:from>
    <xdr:to>
      <xdr:col>12</xdr:col>
      <xdr:colOff>336177</xdr:colOff>
      <xdr:row>21</xdr:row>
      <xdr:rowOff>67234</xdr:rowOff>
    </xdr:to>
    <xdr:sp macro="" textlink="">
      <xdr:nvSpPr>
        <xdr:cNvPr id="18" name="Rechteck 17">
          <a:extLst>
            <a:ext uri="{FF2B5EF4-FFF2-40B4-BE49-F238E27FC236}">
              <a16:creationId xmlns:a16="http://schemas.microsoft.com/office/drawing/2014/main" id="{00000000-0008-0000-0200-000012000000}"/>
            </a:ext>
          </a:extLst>
        </xdr:cNvPr>
        <xdr:cNvSpPr/>
      </xdr:nvSpPr>
      <xdr:spPr>
        <a:xfrm>
          <a:off x="8706970" y="2846294"/>
          <a:ext cx="773207"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xdr:col>
      <xdr:colOff>549088</xdr:colOff>
      <xdr:row>2</xdr:row>
      <xdr:rowOff>156883</xdr:rowOff>
    </xdr:from>
    <xdr:to>
      <xdr:col>2</xdr:col>
      <xdr:colOff>683558</xdr:colOff>
      <xdr:row>14</xdr:row>
      <xdr:rowOff>11205</xdr:rowOff>
    </xdr:to>
    <xdr:sp macro="" textlink="">
      <xdr:nvSpPr>
        <xdr:cNvPr id="19" name="Rechteck 18">
          <a:extLst>
            <a:ext uri="{FF2B5EF4-FFF2-40B4-BE49-F238E27FC236}">
              <a16:creationId xmlns:a16="http://schemas.microsoft.com/office/drawing/2014/main" id="{00000000-0008-0000-0200-000013000000}"/>
            </a:ext>
          </a:extLst>
        </xdr:cNvPr>
        <xdr:cNvSpPr/>
      </xdr:nvSpPr>
      <xdr:spPr>
        <a:xfrm>
          <a:off x="1311088" y="537883"/>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257735</xdr:colOff>
      <xdr:row>2</xdr:row>
      <xdr:rowOff>168089</xdr:rowOff>
    </xdr:from>
    <xdr:to>
      <xdr:col>5</xdr:col>
      <xdr:colOff>392205</xdr:colOff>
      <xdr:row>14</xdr:row>
      <xdr:rowOff>22411</xdr:rowOff>
    </xdr:to>
    <xdr:sp macro="" textlink="">
      <xdr:nvSpPr>
        <xdr:cNvPr id="20" name="Rechteck 19">
          <a:extLst>
            <a:ext uri="{FF2B5EF4-FFF2-40B4-BE49-F238E27FC236}">
              <a16:creationId xmlns:a16="http://schemas.microsoft.com/office/drawing/2014/main" id="{00000000-0008-0000-0200-000014000000}"/>
            </a:ext>
          </a:extLst>
        </xdr:cNvPr>
        <xdr:cNvSpPr/>
      </xdr:nvSpPr>
      <xdr:spPr>
        <a:xfrm>
          <a:off x="3305735" y="549089"/>
          <a:ext cx="896470" cy="2140322"/>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683558</xdr:colOff>
      <xdr:row>2</xdr:row>
      <xdr:rowOff>156883</xdr:rowOff>
    </xdr:from>
    <xdr:to>
      <xdr:col>8</xdr:col>
      <xdr:colOff>56028</xdr:colOff>
      <xdr:row>13</xdr:row>
      <xdr:rowOff>179292</xdr:rowOff>
    </xdr:to>
    <xdr:sp macro="" textlink="">
      <xdr:nvSpPr>
        <xdr:cNvPr id="21" name="Rechteck 20">
          <a:extLst>
            <a:ext uri="{FF2B5EF4-FFF2-40B4-BE49-F238E27FC236}">
              <a16:creationId xmlns:a16="http://schemas.microsoft.com/office/drawing/2014/main" id="{00000000-0008-0000-0200-000015000000}"/>
            </a:ext>
          </a:extLst>
        </xdr:cNvPr>
        <xdr:cNvSpPr/>
      </xdr:nvSpPr>
      <xdr:spPr>
        <a:xfrm>
          <a:off x="5255558"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369794</xdr:colOff>
      <xdr:row>2</xdr:row>
      <xdr:rowOff>156883</xdr:rowOff>
    </xdr:from>
    <xdr:to>
      <xdr:col>10</xdr:col>
      <xdr:colOff>504264</xdr:colOff>
      <xdr:row>13</xdr:row>
      <xdr:rowOff>179292</xdr:rowOff>
    </xdr:to>
    <xdr:sp macro="" textlink="">
      <xdr:nvSpPr>
        <xdr:cNvPr id="22" name="Rechteck 21">
          <a:extLst>
            <a:ext uri="{FF2B5EF4-FFF2-40B4-BE49-F238E27FC236}">
              <a16:creationId xmlns:a16="http://schemas.microsoft.com/office/drawing/2014/main" id="{00000000-0008-0000-0200-000016000000}"/>
            </a:ext>
          </a:extLst>
        </xdr:cNvPr>
        <xdr:cNvSpPr/>
      </xdr:nvSpPr>
      <xdr:spPr>
        <a:xfrm>
          <a:off x="7227794" y="537883"/>
          <a:ext cx="896470" cy="2117909"/>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22411</xdr:colOff>
      <xdr:row>2</xdr:row>
      <xdr:rowOff>156883</xdr:rowOff>
    </xdr:from>
    <xdr:to>
      <xdr:col>13</xdr:col>
      <xdr:colOff>156881</xdr:colOff>
      <xdr:row>13</xdr:row>
      <xdr:rowOff>190498</xdr:rowOff>
    </xdr:to>
    <xdr:sp macro="" textlink="">
      <xdr:nvSpPr>
        <xdr:cNvPr id="23" name="Rechteck 22">
          <a:extLst>
            <a:ext uri="{FF2B5EF4-FFF2-40B4-BE49-F238E27FC236}">
              <a16:creationId xmlns:a16="http://schemas.microsoft.com/office/drawing/2014/main" id="{00000000-0008-0000-0200-000017000000}"/>
            </a:ext>
          </a:extLst>
        </xdr:cNvPr>
        <xdr:cNvSpPr/>
      </xdr:nvSpPr>
      <xdr:spPr>
        <a:xfrm>
          <a:off x="9166411" y="537883"/>
          <a:ext cx="896470" cy="212911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2</xdr:row>
      <xdr:rowOff>123265</xdr:rowOff>
    </xdr:from>
    <xdr:to>
      <xdr:col>15</xdr:col>
      <xdr:colOff>627528</xdr:colOff>
      <xdr:row>14</xdr:row>
      <xdr:rowOff>22410</xdr:rowOff>
    </xdr:to>
    <xdr:sp macro="" textlink="">
      <xdr:nvSpPr>
        <xdr:cNvPr id="24" name="Rechteck 23">
          <a:extLst>
            <a:ext uri="{FF2B5EF4-FFF2-40B4-BE49-F238E27FC236}">
              <a16:creationId xmlns:a16="http://schemas.microsoft.com/office/drawing/2014/main" id="{00000000-0008-0000-0200-000018000000}"/>
            </a:ext>
          </a:extLst>
        </xdr:cNvPr>
        <xdr:cNvSpPr/>
      </xdr:nvSpPr>
      <xdr:spPr>
        <a:xfrm>
          <a:off x="11161058" y="504265"/>
          <a:ext cx="896470" cy="2185145"/>
        </a:xfrm>
        <a:prstGeom prst="rect">
          <a:avLst/>
        </a:prstGeom>
        <a:solidFill>
          <a:schemeClr val="accent4">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504265</xdr:colOff>
      <xdr:row>14</xdr:row>
      <xdr:rowOff>11204</xdr:rowOff>
    </xdr:from>
    <xdr:to>
      <xdr:col>5</xdr:col>
      <xdr:colOff>372717</xdr:colOff>
      <xdr:row>14</xdr:row>
      <xdr:rowOff>190499</xdr:rowOff>
    </xdr:to>
    <xdr:sp macro="" textlink="">
      <xdr:nvSpPr>
        <xdr:cNvPr id="25" name="Rechteck 24">
          <a:extLst>
            <a:ext uri="{FF2B5EF4-FFF2-40B4-BE49-F238E27FC236}">
              <a16:creationId xmlns:a16="http://schemas.microsoft.com/office/drawing/2014/main" id="{00000000-0008-0000-0200-000019000000}"/>
            </a:ext>
          </a:extLst>
        </xdr:cNvPr>
        <xdr:cNvSpPr/>
      </xdr:nvSpPr>
      <xdr:spPr>
        <a:xfrm>
          <a:off x="504265" y="2678204"/>
          <a:ext cx="3678452" cy="17929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358589</xdr:colOff>
      <xdr:row>21</xdr:row>
      <xdr:rowOff>66262</xdr:rowOff>
    </xdr:from>
    <xdr:to>
      <xdr:col>4</xdr:col>
      <xdr:colOff>621196</xdr:colOff>
      <xdr:row>22</xdr:row>
      <xdr:rowOff>69562</xdr:rowOff>
    </xdr:to>
    <xdr:sp macro="" textlink="">
      <xdr:nvSpPr>
        <xdr:cNvPr id="26" name="Rechteck 25">
          <a:extLst>
            <a:ext uri="{FF2B5EF4-FFF2-40B4-BE49-F238E27FC236}">
              <a16:creationId xmlns:a16="http://schemas.microsoft.com/office/drawing/2014/main" id="{00000000-0008-0000-0200-00001A000000}"/>
            </a:ext>
          </a:extLst>
        </xdr:cNvPr>
        <xdr:cNvSpPr/>
      </xdr:nvSpPr>
      <xdr:spPr>
        <a:xfrm>
          <a:off x="358589" y="4141305"/>
          <a:ext cx="3310607" cy="193800"/>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470649</xdr:colOff>
      <xdr:row>26</xdr:row>
      <xdr:rowOff>100854</xdr:rowOff>
    </xdr:from>
    <xdr:to>
      <xdr:col>1</xdr:col>
      <xdr:colOff>75288</xdr:colOff>
      <xdr:row>28</xdr:row>
      <xdr:rowOff>31350</xdr:rowOff>
    </xdr:to>
    <xdr:sp macro="" textlink="">
      <xdr:nvSpPr>
        <xdr:cNvPr id="27" name="Textfeld 26">
          <a:extLst>
            <a:ext uri="{FF2B5EF4-FFF2-40B4-BE49-F238E27FC236}">
              <a16:creationId xmlns:a16="http://schemas.microsoft.com/office/drawing/2014/main" id="{00000000-0008-0000-0200-00001B000000}"/>
            </a:ext>
          </a:extLst>
        </xdr:cNvPr>
        <xdr:cNvSpPr txBox="1"/>
      </xdr:nvSpPr>
      <xdr:spPr>
        <a:xfrm>
          <a:off x="470649" y="5210736"/>
          <a:ext cx="36663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01</a:t>
          </a:r>
        </a:p>
      </xdr:txBody>
    </xdr:sp>
    <xdr:clientData/>
  </xdr:twoCellAnchor>
  <xdr:twoCellAnchor>
    <xdr:from>
      <xdr:col>3</xdr:col>
      <xdr:colOff>156884</xdr:colOff>
      <xdr:row>26</xdr:row>
      <xdr:rowOff>100854</xdr:rowOff>
    </xdr:from>
    <xdr:to>
      <xdr:col>3</xdr:col>
      <xdr:colOff>642017</xdr:colOff>
      <xdr:row>28</xdr:row>
      <xdr:rowOff>31350</xdr:rowOff>
    </xdr:to>
    <xdr:sp macro="" textlink="">
      <xdr:nvSpPr>
        <xdr:cNvPr id="28" name="Textfeld 27">
          <a:extLst>
            <a:ext uri="{FF2B5EF4-FFF2-40B4-BE49-F238E27FC236}">
              <a16:creationId xmlns:a16="http://schemas.microsoft.com/office/drawing/2014/main" id="{00000000-0008-0000-0200-00001C000000}"/>
            </a:ext>
          </a:extLst>
        </xdr:cNvPr>
        <xdr:cNvSpPr txBox="1"/>
      </xdr:nvSpPr>
      <xdr:spPr>
        <a:xfrm>
          <a:off x="2442884" y="5210736"/>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02</a:t>
          </a:r>
        </a:p>
      </xdr:txBody>
    </xdr:sp>
    <xdr:clientData/>
  </xdr:twoCellAnchor>
  <xdr:twoCellAnchor>
    <xdr:from>
      <xdr:col>5</xdr:col>
      <xdr:colOff>638737</xdr:colOff>
      <xdr:row>26</xdr:row>
      <xdr:rowOff>89648</xdr:rowOff>
    </xdr:from>
    <xdr:to>
      <xdr:col>6</xdr:col>
      <xdr:colOff>361870</xdr:colOff>
      <xdr:row>28</xdr:row>
      <xdr:rowOff>20144</xdr:rowOff>
    </xdr:to>
    <xdr:sp macro="" textlink="">
      <xdr:nvSpPr>
        <xdr:cNvPr id="29" name="Textfeld 28">
          <a:extLst>
            <a:ext uri="{FF2B5EF4-FFF2-40B4-BE49-F238E27FC236}">
              <a16:creationId xmlns:a16="http://schemas.microsoft.com/office/drawing/2014/main" id="{00000000-0008-0000-0200-00001D000000}"/>
            </a:ext>
          </a:extLst>
        </xdr:cNvPr>
        <xdr:cNvSpPr txBox="1"/>
      </xdr:nvSpPr>
      <xdr:spPr>
        <a:xfrm>
          <a:off x="4448737" y="519953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03</a:t>
          </a:r>
        </a:p>
      </xdr:txBody>
    </xdr:sp>
    <xdr:clientData/>
  </xdr:twoCellAnchor>
  <xdr:twoCellAnchor>
    <xdr:from>
      <xdr:col>8</xdr:col>
      <xdr:colOff>347384</xdr:colOff>
      <xdr:row>26</xdr:row>
      <xdr:rowOff>56030</xdr:rowOff>
    </xdr:from>
    <xdr:to>
      <xdr:col>9</xdr:col>
      <xdr:colOff>70517</xdr:colOff>
      <xdr:row>27</xdr:row>
      <xdr:rowOff>177026</xdr:rowOff>
    </xdr:to>
    <xdr:sp macro="" textlink="">
      <xdr:nvSpPr>
        <xdr:cNvPr id="30" name="Textfeld 29">
          <a:extLst>
            <a:ext uri="{FF2B5EF4-FFF2-40B4-BE49-F238E27FC236}">
              <a16:creationId xmlns:a16="http://schemas.microsoft.com/office/drawing/2014/main" id="{00000000-0008-0000-0200-00001E000000}"/>
            </a:ext>
          </a:extLst>
        </xdr:cNvPr>
        <xdr:cNvSpPr txBox="1"/>
      </xdr:nvSpPr>
      <xdr:spPr>
        <a:xfrm>
          <a:off x="6443384" y="5165912"/>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04</a:t>
          </a:r>
        </a:p>
      </xdr:txBody>
    </xdr:sp>
    <xdr:clientData/>
  </xdr:twoCellAnchor>
  <xdr:twoCellAnchor>
    <xdr:from>
      <xdr:col>11</xdr:col>
      <xdr:colOff>67236</xdr:colOff>
      <xdr:row>26</xdr:row>
      <xdr:rowOff>33618</xdr:rowOff>
    </xdr:from>
    <xdr:to>
      <xdr:col>11</xdr:col>
      <xdr:colOff>552369</xdr:colOff>
      <xdr:row>27</xdr:row>
      <xdr:rowOff>154614</xdr:rowOff>
    </xdr:to>
    <xdr:sp macro="" textlink="">
      <xdr:nvSpPr>
        <xdr:cNvPr id="31" name="Textfeld 30">
          <a:extLst>
            <a:ext uri="{FF2B5EF4-FFF2-40B4-BE49-F238E27FC236}">
              <a16:creationId xmlns:a16="http://schemas.microsoft.com/office/drawing/2014/main" id="{00000000-0008-0000-0200-00001F000000}"/>
            </a:ext>
          </a:extLst>
        </xdr:cNvPr>
        <xdr:cNvSpPr txBox="1"/>
      </xdr:nvSpPr>
      <xdr:spPr>
        <a:xfrm>
          <a:off x="8449236" y="5143500"/>
          <a:ext cx="48513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05</a:t>
          </a:r>
        </a:p>
      </xdr:txBody>
    </xdr:sp>
    <xdr:clientData/>
  </xdr:twoCellAnchor>
  <xdr:twoCellAnchor>
    <xdr:from>
      <xdr:col>13</xdr:col>
      <xdr:colOff>481854</xdr:colOff>
      <xdr:row>26</xdr:row>
      <xdr:rowOff>11206</xdr:rowOff>
    </xdr:from>
    <xdr:to>
      <xdr:col>14</xdr:col>
      <xdr:colOff>295974</xdr:colOff>
      <xdr:row>27</xdr:row>
      <xdr:rowOff>132202</xdr:rowOff>
    </xdr:to>
    <xdr:sp macro="" textlink="">
      <xdr:nvSpPr>
        <xdr:cNvPr id="32" name="Textfeld 31">
          <a:extLst>
            <a:ext uri="{FF2B5EF4-FFF2-40B4-BE49-F238E27FC236}">
              <a16:creationId xmlns:a16="http://schemas.microsoft.com/office/drawing/2014/main" id="{00000000-0008-0000-0200-000020000000}"/>
            </a:ext>
          </a:extLst>
        </xdr:cNvPr>
        <xdr:cNvSpPr txBox="1"/>
      </xdr:nvSpPr>
      <xdr:spPr>
        <a:xfrm>
          <a:off x="10387854" y="5121088"/>
          <a:ext cx="57612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06</a:t>
          </a:r>
        </a:p>
      </xdr:txBody>
    </xdr:sp>
    <xdr:clientData/>
  </xdr:twoCellAnchor>
  <xdr:twoCellAnchor>
    <xdr:from>
      <xdr:col>1</xdr:col>
      <xdr:colOff>212913</xdr:colOff>
      <xdr:row>17</xdr:row>
      <xdr:rowOff>44824</xdr:rowOff>
    </xdr:from>
    <xdr:to>
      <xdr:col>1</xdr:col>
      <xdr:colOff>684260</xdr:colOff>
      <xdr:row>18</xdr:row>
      <xdr:rowOff>165820</xdr:rowOff>
    </xdr:to>
    <xdr:sp macro="" textlink="">
      <xdr:nvSpPr>
        <xdr:cNvPr id="33" name="Textfeld 32">
          <a:extLst>
            <a:ext uri="{FF2B5EF4-FFF2-40B4-BE49-F238E27FC236}">
              <a16:creationId xmlns:a16="http://schemas.microsoft.com/office/drawing/2014/main" id="{00000000-0008-0000-0200-000021000000}"/>
            </a:ext>
          </a:extLst>
        </xdr:cNvPr>
        <xdr:cNvSpPr txBox="1"/>
      </xdr:nvSpPr>
      <xdr:spPr>
        <a:xfrm>
          <a:off x="97491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07</a:t>
          </a:r>
        </a:p>
      </xdr:txBody>
    </xdr:sp>
    <xdr:clientData/>
  </xdr:twoCellAnchor>
  <xdr:twoCellAnchor>
    <xdr:from>
      <xdr:col>7</xdr:col>
      <xdr:colOff>212913</xdr:colOff>
      <xdr:row>17</xdr:row>
      <xdr:rowOff>56030</xdr:rowOff>
    </xdr:from>
    <xdr:to>
      <xdr:col>7</xdr:col>
      <xdr:colOff>684260</xdr:colOff>
      <xdr:row>18</xdr:row>
      <xdr:rowOff>177026</xdr:rowOff>
    </xdr:to>
    <xdr:sp macro="" textlink="">
      <xdr:nvSpPr>
        <xdr:cNvPr id="35" name="Textfeld 34">
          <a:extLst>
            <a:ext uri="{FF2B5EF4-FFF2-40B4-BE49-F238E27FC236}">
              <a16:creationId xmlns:a16="http://schemas.microsoft.com/office/drawing/2014/main" id="{00000000-0008-0000-0200-000023000000}"/>
            </a:ext>
          </a:extLst>
        </xdr:cNvPr>
        <xdr:cNvSpPr txBox="1"/>
      </xdr:nvSpPr>
      <xdr:spPr>
        <a:xfrm>
          <a:off x="5546913"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12</a:t>
          </a:r>
        </a:p>
      </xdr:txBody>
    </xdr:sp>
    <xdr:clientData/>
  </xdr:twoCellAnchor>
  <xdr:twoCellAnchor>
    <xdr:from>
      <xdr:col>2</xdr:col>
      <xdr:colOff>22413</xdr:colOff>
      <xdr:row>7</xdr:row>
      <xdr:rowOff>11207</xdr:rowOff>
    </xdr:from>
    <xdr:to>
      <xdr:col>2</xdr:col>
      <xdr:colOff>506263</xdr:colOff>
      <xdr:row>8</xdr:row>
      <xdr:rowOff>132203</xdr:rowOff>
    </xdr:to>
    <xdr:sp macro="" textlink="">
      <xdr:nvSpPr>
        <xdr:cNvPr id="37" name="Textfeld 36">
          <a:extLst>
            <a:ext uri="{FF2B5EF4-FFF2-40B4-BE49-F238E27FC236}">
              <a16:creationId xmlns:a16="http://schemas.microsoft.com/office/drawing/2014/main" id="{00000000-0008-0000-0200-000025000000}"/>
            </a:ext>
          </a:extLst>
        </xdr:cNvPr>
        <xdr:cNvSpPr txBox="1"/>
      </xdr:nvSpPr>
      <xdr:spPr>
        <a:xfrm>
          <a:off x="1546413" y="1344707"/>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19</a:t>
          </a:r>
        </a:p>
      </xdr:txBody>
    </xdr:sp>
    <xdr:clientData/>
  </xdr:twoCellAnchor>
  <xdr:twoCellAnchor>
    <xdr:from>
      <xdr:col>4</xdr:col>
      <xdr:colOff>481855</xdr:colOff>
      <xdr:row>6</xdr:row>
      <xdr:rowOff>156884</xdr:rowOff>
    </xdr:from>
    <xdr:to>
      <xdr:col>5</xdr:col>
      <xdr:colOff>203705</xdr:colOff>
      <xdr:row>8</xdr:row>
      <xdr:rowOff>87380</xdr:rowOff>
    </xdr:to>
    <xdr:sp macro="" textlink="">
      <xdr:nvSpPr>
        <xdr:cNvPr id="38" name="Textfeld 37">
          <a:extLst>
            <a:ext uri="{FF2B5EF4-FFF2-40B4-BE49-F238E27FC236}">
              <a16:creationId xmlns:a16="http://schemas.microsoft.com/office/drawing/2014/main" id="{00000000-0008-0000-0200-000026000000}"/>
            </a:ext>
          </a:extLst>
        </xdr:cNvPr>
        <xdr:cNvSpPr txBox="1"/>
      </xdr:nvSpPr>
      <xdr:spPr>
        <a:xfrm>
          <a:off x="3529855" y="1299884"/>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20</a:t>
          </a:r>
        </a:p>
      </xdr:txBody>
    </xdr:sp>
    <xdr:clientData/>
  </xdr:twoCellAnchor>
  <xdr:twoCellAnchor>
    <xdr:from>
      <xdr:col>7</xdr:col>
      <xdr:colOff>145679</xdr:colOff>
      <xdr:row>6</xdr:row>
      <xdr:rowOff>134472</xdr:rowOff>
    </xdr:from>
    <xdr:to>
      <xdr:col>7</xdr:col>
      <xdr:colOff>629529</xdr:colOff>
      <xdr:row>8</xdr:row>
      <xdr:rowOff>64968</xdr:rowOff>
    </xdr:to>
    <xdr:sp macro="" textlink="">
      <xdr:nvSpPr>
        <xdr:cNvPr id="39" name="Textfeld 38">
          <a:extLst>
            <a:ext uri="{FF2B5EF4-FFF2-40B4-BE49-F238E27FC236}">
              <a16:creationId xmlns:a16="http://schemas.microsoft.com/office/drawing/2014/main" id="{00000000-0008-0000-0200-000027000000}"/>
            </a:ext>
          </a:extLst>
        </xdr:cNvPr>
        <xdr:cNvSpPr txBox="1"/>
      </xdr:nvSpPr>
      <xdr:spPr>
        <a:xfrm>
          <a:off x="5479679" y="1277472"/>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21</a:t>
          </a:r>
        </a:p>
      </xdr:txBody>
    </xdr:sp>
    <xdr:clientData/>
  </xdr:twoCellAnchor>
  <xdr:twoCellAnchor>
    <xdr:from>
      <xdr:col>9</xdr:col>
      <xdr:colOff>582709</xdr:colOff>
      <xdr:row>6</xdr:row>
      <xdr:rowOff>123266</xdr:rowOff>
    </xdr:from>
    <xdr:to>
      <xdr:col>10</xdr:col>
      <xdr:colOff>304559</xdr:colOff>
      <xdr:row>8</xdr:row>
      <xdr:rowOff>53762</xdr:rowOff>
    </xdr:to>
    <xdr:sp macro="" textlink="">
      <xdr:nvSpPr>
        <xdr:cNvPr id="40" name="Textfeld 39">
          <a:extLst>
            <a:ext uri="{FF2B5EF4-FFF2-40B4-BE49-F238E27FC236}">
              <a16:creationId xmlns:a16="http://schemas.microsoft.com/office/drawing/2014/main" id="{00000000-0008-0000-0200-000028000000}"/>
            </a:ext>
          </a:extLst>
        </xdr:cNvPr>
        <xdr:cNvSpPr txBox="1"/>
      </xdr:nvSpPr>
      <xdr:spPr>
        <a:xfrm>
          <a:off x="7440709" y="1266266"/>
          <a:ext cx="483850"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22</a:t>
          </a:r>
        </a:p>
      </xdr:txBody>
    </xdr:sp>
    <xdr:clientData/>
  </xdr:twoCellAnchor>
  <xdr:twoCellAnchor>
    <xdr:from>
      <xdr:col>12</xdr:col>
      <xdr:colOff>268944</xdr:colOff>
      <xdr:row>6</xdr:row>
      <xdr:rowOff>89648</xdr:rowOff>
    </xdr:from>
    <xdr:to>
      <xdr:col>13</xdr:col>
      <xdr:colOff>81781</xdr:colOff>
      <xdr:row>8</xdr:row>
      <xdr:rowOff>20144</xdr:rowOff>
    </xdr:to>
    <xdr:sp macro="" textlink="">
      <xdr:nvSpPr>
        <xdr:cNvPr id="41" name="Textfeld 40">
          <a:extLst>
            <a:ext uri="{FF2B5EF4-FFF2-40B4-BE49-F238E27FC236}">
              <a16:creationId xmlns:a16="http://schemas.microsoft.com/office/drawing/2014/main" id="{00000000-0008-0000-0200-000029000000}"/>
            </a:ext>
          </a:extLst>
        </xdr:cNvPr>
        <xdr:cNvSpPr txBox="1"/>
      </xdr:nvSpPr>
      <xdr:spPr>
        <a:xfrm>
          <a:off x="9412944" y="1232648"/>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23</a:t>
          </a:r>
        </a:p>
      </xdr:txBody>
    </xdr:sp>
    <xdr:clientData/>
  </xdr:twoCellAnchor>
  <xdr:twoCellAnchor>
    <xdr:from>
      <xdr:col>14</xdr:col>
      <xdr:colOff>694767</xdr:colOff>
      <xdr:row>6</xdr:row>
      <xdr:rowOff>145677</xdr:rowOff>
    </xdr:from>
    <xdr:to>
      <xdr:col>15</xdr:col>
      <xdr:colOff>507604</xdr:colOff>
      <xdr:row>8</xdr:row>
      <xdr:rowOff>76173</xdr:rowOff>
    </xdr:to>
    <xdr:sp macro="" textlink="">
      <xdr:nvSpPr>
        <xdr:cNvPr id="42" name="Textfeld 41">
          <a:extLst>
            <a:ext uri="{FF2B5EF4-FFF2-40B4-BE49-F238E27FC236}">
              <a16:creationId xmlns:a16="http://schemas.microsoft.com/office/drawing/2014/main" id="{00000000-0008-0000-0200-00002A000000}"/>
            </a:ext>
          </a:extLst>
        </xdr:cNvPr>
        <xdr:cNvSpPr txBox="1"/>
      </xdr:nvSpPr>
      <xdr:spPr>
        <a:xfrm>
          <a:off x="11362767" y="1288677"/>
          <a:ext cx="57483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24</a:t>
          </a:r>
        </a:p>
      </xdr:txBody>
    </xdr:sp>
    <xdr:clientData/>
  </xdr:twoCellAnchor>
  <xdr:twoCellAnchor>
    <xdr:from>
      <xdr:col>1</xdr:col>
      <xdr:colOff>437030</xdr:colOff>
      <xdr:row>22</xdr:row>
      <xdr:rowOff>56029</xdr:rowOff>
    </xdr:from>
    <xdr:to>
      <xdr:col>2</xdr:col>
      <xdr:colOff>739588</xdr:colOff>
      <xdr:row>23</xdr:row>
      <xdr:rowOff>145676</xdr:rowOff>
    </xdr:to>
    <xdr:sp macro="" textlink="">
      <xdr:nvSpPr>
        <xdr:cNvPr id="47" name="Rechteck 46">
          <a:extLst>
            <a:ext uri="{FF2B5EF4-FFF2-40B4-BE49-F238E27FC236}">
              <a16:creationId xmlns:a16="http://schemas.microsoft.com/office/drawing/2014/main" id="{00000000-0008-0000-0200-00002F000000}"/>
            </a:ext>
          </a:extLst>
        </xdr:cNvPr>
        <xdr:cNvSpPr/>
      </xdr:nvSpPr>
      <xdr:spPr>
        <a:xfrm>
          <a:off x="1199030" y="4325470"/>
          <a:ext cx="1064558"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56030</xdr:colOff>
      <xdr:row>21</xdr:row>
      <xdr:rowOff>168089</xdr:rowOff>
    </xdr:from>
    <xdr:to>
      <xdr:col>2</xdr:col>
      <xdr:colOff>422413</xdr:colOff>
      <xdr:row>23</xdr:row>
      <xdr:rowOff>98585</xdr:rowOff>
    </xdr:to>
    <xdr:sp macro="" textlink="">
      <xdr:nvSpPr>
        <xdr:cNvPr id="43" name="Textfeld 42">
          <a:extLst>
            <a:ext uri="{FF2B5EF4-FFF2-40B4-BE49-F238E27FC236}">
              <a16:creationId xmlns:a16="http://schemas.microsoft.com/office/drawing/2014/main" id="{00000000-0008-0000-0200-00002B000000}"/>
            </a:ext>
          </a:extLst>
        </xdr:cNvPr>
        <xdr:cNvSpPr txBox="1"/>
      </xdr:nvSpPr>
      <xdr:spPr>
        <a:xfrm>
          <a:off x="1580030" y="4243132"/>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B1</a:t>
          </a:r>
        </a:p>
      </xdr:txBody>
    </xdr:sp>
    <xdr:clientData/>
  </xdr:twoCellAnchor>
  <xdr:twoCellAnchor>
    <xdr:from>
      <xdr:col>4</xdr:col>
      <xdr:colOff>123265</xdr:colOff>
      <xdr:row>22</xdr:row>
      <xdr:rowOff>67236</xdr:rowOff>
    </xdr:from>
    <xdr:to>
      <xdr:col>4</xdr:col>
      <xdr:colOff>629478</xdr:colOff>
      <xdr:row>23</xdr:row>
      <xdr:rowOff>156883</xdr:rowOff>
    </xdr:to>
    <xdr:sp macro="" textlink="">
      <xdr:nvSpPr>
        <xdr:cNvPr id="48" name="Rechteck 47">
          <a:extLst>
            <a:ext uri="{FF2B5EF4-FFF2-40B4-BE49-F238E27FC236}">
              <a16:creationId xmlns:a16="http://schemas.microsoft.com/office/drawing/2014/main" id="{00000000-0008-0000-0200-000030000000}"/>
            </a:ext>
          </a:extLst>
        </xdr:cNvPr>
        <xdr:cNvSpPr/>
      </xdr:nvSpPr>
      <xdr:spPr>
        <a:xfrm>
          <a:off x="3171265" y="4332779"/>
          <a:ext cx="506213" cy="280147"/>
        </a:xfrm>
        <a:prstGeom prst="rect">
          <a:avLst/>
        </a:prstGeom>
        <a:solidFill>
          <a:srgbClr val="FF0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582706</xdr:colOff>
      <xdr:row>22</xdr:row>
      <xdr:rowOff>67235</xdr:rowOff>
    </xdr:from>
    <xdr:to>
      <xdr:col>8</xdr:col>
      <xdr:colOff>123264</xdr:colOff>
      <xdr:row>23</xdr:row>
      <xdr:rowOff>156882</xdr:rowOff>
    </xdr:to>
    <xdr:sp macro="" textlink="">
      <xdr:nvSpPr>
        <xdr:cNvPr id="49" name="Rechteck 48">
          <a:extLst>
            <a:ext uri="{FF2B5EF4-FFF2-40B4-BE49-F238E27FC236}">
              <a16:creationId xmlns:a16="http://schemas.microsoft.com/office/drawing/2014/main" id="{00000000-0008-0000-0200-000031000000}"/>
            </a:ext>
          </a:extLst>
        </xdr:cNvPr>
        <xdr:cNvSpPr/>
      </xdr:nvSpPr>
      <xdr:spPr>
        <a:xfrm>
          <a:off x="5154706" y="4336676"/>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273326</xdr:colOff>
      <xdr:row>22</xdr:row>
      <xdr:rowOff>56030</xdr:rowOff>
    </xdr:from>
    <xdr:to>
      <xdr:col>10</xdr:col>
      <xdr:colOff>605117</xdr:colOff>
      <xdr:row>23</xdr:row>
      <xdr:rowOff>145677</xdr:rowOff>
    </xdr:to>
    <xdr:sp macro="" textlink="">
      <xdr:nvSpPr>
        <xdr:cNvPr id="50" name="Rechteck 49">
          <a:extLst>
            <a:ext uri="{FF2B5EF4-FFF2-40B4-BE49-F238E27FC236}">
              <a16:creationId xmlns:a16="http://schemas.microsoft.com/office/drawing/2014/main" id="{00000000-0008-0000-0200-000032000000}"/>
            </a:ext>
          </a:extLst>
        </xdr:cNvPr>
        <xdr:cNvSpPr/>
      </xdr:nvSpPr>
      <xdr:spPr>
        <a:xfrm>
          <a:off x="7131326" y="4321573"/>
          <a:ext cx="1093791"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22412</xdr:colOff>
      <xdr:row>22</xdr:row>
      <xdr:rowOff>56030</xdr:rowOff>
    </xdr:from>
    <xdr:to>
      <xdr:col>13</xdr:col>
      <xdr:colOff>324970</xdr:colOff>
      <xdr:row>23</xdr:row>
      <xdr:rowOff>145677</xdr:rowOff>
    </xdr:to>
    <xdr:sp macro="" textlink="">
      <xdr:nvSpPr>
        <xdr:cNvPr id="51" name="Rechteck 50">
          <a:extLst>
            <a:ext uri="{FF2B5EF4-FFF2-40B4-BE49-F238E27FC236}">
              <a16:creationId xmlns:a16="http://schemas.microsoft.com/office/drawing/2014/main" id="{00000000-0008-0000-0200-000033000000}"/>
            </a:ext>
          </a:extLst>
        </xdr:cNvPr>
        <xdr:cNvSpPr/>
      </xdr:nvSpPr>
      <xdr:spPr>
        <a:xfrm>
          <a:off x="9166412" y="4325471"/>
          <a:ext cx="106455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437029</xdr:colOff>
      <xdr:row>22</xdr:row>
      <xdr:rowOff>67236</xdr:rowOff>
    </xdr:from>
    <xdr:to>
      <xdr:col>15</xdr:col>
      <xdr:colOff>448235</xdr:colOff>
      <xdr:row>23</xdr:row>
      <xdr:rowOff>156883</xdr:rowOff>
    </xdr:to>
    <xdr:sp macro="" textlink="">
      <xdr:nvSpPr>
        <xdr:cNvPr id="52" name="Rechteck 51">
          <a:extLst>
            <a:ext uri="{FF2B5EF4-FFF2-40B4-BE49-F238E27FC236}">
              <a16:creationId xmlns:a16="http://schemas.microsoft.com/office/drawing/2014/main" id="{00000000-0008-0000-0200-000034000000}"/>
            </a:ext>
          </a:extLst>
        </xdr:cNvPr>
        <xdr:cNvSpPr/>
      </xdr:nvSpPr>
      <xdr:spPr>
        <a:xfrm>
          <a:off x="11105029" y="4336677"/>
          <a:ext cx="773206"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89647</xdr:colOff>
      <xdr:row>14</xdr:row>
      <xdr:rowOff>168088</xdr:rowOff>
    </xdr:from>
    <xdr:to>
      <xdr:col>3</xdr:col>
      <xdr:colOff>739588</xdr:colOff>
      <xdr:row>21</xdr:row>
      <xdr:rowOff>56028</xdr:rowOff>
    </xdr:to>
    <xdr:sp macro="" textlink="">
      <xdr:nvSpPr>
        <xdr:cNvPr id="53" name="Rechteck 52">
          <a:extLst>
            <a:ext uri="{FF2B5EF4-FFF2-40B4-BE49-F238E27FC236}">
              <a16:creationId xmlns:a16="http://schemas.microsoft.com/office/drawing/2014/main" id="{00000000-0008-0000-0200-000035000000}"/>
            </a:ext>
          </a:extLst>
        </xdr:cNvPr>
        <xdr:cNvSpPr/>
      </xdr:nvSpPr>
      <xdr:spPr>
        <a:xfrm>
          <a:off x="2375647" y="2835088"/>
          <a:ext cx="649941"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190501</xdr:colOff>
      <xdr:row>17</xdr:row>
      <xdr:rowOff>56030</xdr:rowOff>
    </xdr:from>
    <xdr:to>
      <xdr:col>3</xdr:col>
      <xdr:colOff>661848</xdr:colOff>
      <xdr:row>18</xdr:row>
      <xdr:rowOff>177026</xdr:rowOff>
    </xdr:to>
    <xdr:sp macro="" textlink="">
      <xdr:nvSpPr>
        <xdr:cNvPr id="34" name="Textfeld 33">
          <a:extLst>
            <a:ext uri="{FF2B5EF4-FFF2-40B4-BE49-F238E27FC236}">
              <a16:creationId xmlns:a16="http://schemas.microsoft.com/office/drawing/2014/main" id="{00000000-0008-0000-0200-000022000000}"/>
            </a:ext>
          </a:extLst>
        </xdr:cNvPr>
        <xdr:cNvSpPr txBox="1"/>
      </xdr:nvSpPr>
      <xdr:spPr>
        <a:xfrm>
          <a:off x="2476501"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08</a:t>
          </a:r>
        </a:p>
      </xdr:txBody>
    </xdr:sp>
    <xdr:clientData/>
  </xdr:twoCellAnchor>
  <xdr:twoCellAnchor>
    <xdr:from>
      <xdr:col>4</xdr:col>
      <xdr:colOff>78442</xdr:colOff>
      <xdr:row>17</xdr:row>
      <xdr:rowOff>56030</xdr:rowOff>
    </xdr:from>
    <xdr:to>
      <xdr:col>4</xdr:col>
      <xdr:colOff>549789</xdr:colOff>
      <xdr:row>18</xdr:row>
      <xdr:rowOff>177026</xdr:rowOff>
    </xdr:to>
    <xdr:sp macro="" textlink="">
      <xdr:nvSpPr>
        <xdr:cNvPr id="54" name="Textfeld 53">
          <a:extLst>
            <a:ext uri="{FF2B5EF4-FFF2-40B4-BE49-F238E27FC236}">
              <a16:creationId xmlns:a16="http://schemas.microsoft.com/office/drawing/2014/main" id="{00000000-0008-0000-0200-000036000000}"/>
            </a:ext>
          </a:extLst>
        </xdr:cNvPr>
        <xdr:cNvSpPr txBox="1"/>
      </xdr:nvSpPr>
      <xdr:spPr>
        <a:xfrm>
          <a:off x="3126442" y="3294530"/>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09</a:t>
          </a:r>
        </a:p>
      </xdr:txBody>
    </xdr:sp>
    <xdr:clientData/>
  </xdr:twoCellAnchor>
  <xdr:twoCellAnchor>
    <xdr:from>
      <xdr:col>6</xdr:col>
      <xdr:colOff>190500</xdr:colOff>
      <xdr:row>14</xdr:row>
      <xdr:rowOff>168088</xdr:rowOff>
    </xdr:from>
    <xdr:to>
      <xdr:col>7</xdr:col>
      <xdr:colOff>56029</xdr:colOff>
      <xdr:row>21</xdr:row>
      <xdr:rowOff>56028</xdr:rowOff>
    </xdr:to>
    <xdr:sp macro="" textlink="">
      <xdr:nvSpPr>
        <xdr:cNvPr id="55" name="Rechteck 54">
          <a:extLst>
            <a:ext uri="{FF2B5EF4-FFF2-40B4-BE49-F238E27FC236}">
              <a16:creationId xmlns:a16="http://schemas.microsoft.com/office/drawing/2014/main" id="{00000000-0008-0000-0200-000037000000}"/>
            </a:ext>
          </a:extLst>
        </xdr:cNvPr>
        <xdr:cNvSpPr/>
      </xdr:nvSpPr>
      <xdr:spPr>
        <a:xfrm>
          <a:off x="4762500" y="2835088"/>
          <a:ext cx="627529"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280148</xdr:colOff>
      <xdr:row>17</xdr:row>
      <xdr:rowOff>67235</xdr:rowOff>
    </xdr:from>
    <xdr:to>
      <xdr:col>6</xdr:col>
      <xdr:colOff>751495</xdr:colOff>
      <xdr:row>18</xdr:row>
      <xdr:rowOff>188231</xdr:rowOff>
    </xdr:to>
    <xdr:sp macro="" textlink="">
      <xdr:nvSpPr>
        <xdr:cNvPr id="56" name="Textfeld 55">
          <a:extLst>
            <a:ext uri="{FF2B5EF4-FFF2-40B4-BE49-F238E27FC236}">
              <a16:creationId xmlns:a16="http://schemas.microsoft.com/office/drawing/2014/main" id="{00000000-0008-0000-0200-000038000000}"/>
            </a:ext>
          </a:extLst>
        </xdr:cNvPr>
        <xdr:cNvSpPr txBox="1"/>
      </xdr:nvSpPr>
      <xdr:spPr>
        <a:xfrm>
          <a:off x="4852148" y="3305735"/>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11</a:t>
          </a:r>
        </a:p>
      </xdr:txBody>
    </xdr:sp>
    <xdr:clientData/>
  </xdr:twoCellAnchor>
  <xdr:twoCellAnchor>
    <xdr:from>
      <xdr:col>8</xdr:col>
      <xdr:colOff>78441</xdr:colOff>
      <xdr:row>14</xdr:row>
      <xdr:rowOff>179294</xdr:rowOff>
    </xdr:from>
    <xdr:to>
      <xdr:col>8</xdr:col>
      <xdr:colOff>750794</xdr:colOff>
      <xdr:row>21</xdr:row>
      <xdr:rowOff>67234</xdr:rowOff>
    </xdr:to>
    <xdr:sp macro="" textlink="">
      <xdr:nvSpPr>
        <xdr:cNvPr id="57" name="Rechteck 56">
          <a:extLst>
            <a:ext uri="{FF2B5EF4-FFF2-40B4-BE49-F238E27FC236}">
              <a16:creationId xmlns:a16="http://schemas.microsoft.com/office/drawing/2014/main" id="{00000000-0008-0000-0200-000039000000}"/>
            </a:ext>
          </a:extLst>
        </xdr:cNvPr>
        <xdr:cNvSpPr/>
      </xdr:nvSpPr>
      <xdr:spPr>
        <a:xfrm>
          <a:off x="6174441"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190501</xdr:colOff>
      <xdr:row>17</xdr:row>
      <xdr:rowOff>33619</xdr:rowOff>
    </xdr:from>
    <xdr:to>
      <xdr:col>8</xdr:col>
      <xdr:colOff>661848</xdr:colOff>
      <xdr:row>18</xdr:row>
      <xdr:rowOff>154615</xdr:rowOff>
    </xdr:to>
    <xdr:sp macro="" textlink="">
      <xdr:nvSpPr>
        <xdr:cNvPr id="58" name="Textfeld 57">
          <a:extLst>
            <a:ext uri="{FF2B5EF4-FFF2-40B4-BE49-F238E27FC236}">
              <a16:creationId xmlns:a16="http://schemas.microsoft.com/office/drawing/2014/main" id="{00000000-0008-0000-0200-00003A000000}"/>
            </a:ext>
          </a:extLst>
        </xdr:cNvPr>
        <xdr:cNvSpPr txBox="1"/>
      </xdr:nvSpPr>
      <xdr:spPr>
        <a:xfrm>
          <a:off x="6286501"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13</a:t>
          </a:r>
        </a:p>
      </xdr:txBody>
    </xdr:sp>
    <xdr:clientData/>
  </xdr:twoCellAnchor>
  <xdr:twoCellAnchor>
    <xdr:from>
      <xdr:col>8</xdr:col>
      <xdr:colOff>728381</xdr:colOff>
      <xdr:row>14</xdr:row>
      <xdr:rowOff>179293</xdr:rowOff>
    </xdr:from>
    <xdr:to>
      <xdr:col>10</xdr:col>
      <xdr:colOff>11206</xdr:colOff>
      <xdr:row>21</xdr:row>
      <xdr:rowOff>67233</xdr:rowOff>
    </xdr:to>
    <xdr:sp macro="" textlink="">
      <xdr:nvSpPr>
        <xdr:cNvPr id="59" name="Rechteck 58">
          <a:extLst>
            <a:ext uri="{FF2B5EF4-FFF2-40B4-BE49-F238E27FC236}">
              <a16:creationId xmlns:a16="http://schemas.microsoft.com/office/drawing/2014/main" id="{00000000-0008-0000-0200-00003B000000}"/>
            </a:ext>
          </a:extLst>
        </xdr:cNvPr>
        <xdr:cNvSpPr/>
      </xdr:nvSpPr>
      <xdr:spPr>
        <a:xfrm>
          <a:off x="6824381" y="2846293"/>
          <a:ext cx="806825"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9</xdr:col>
      <xdr:colOff>134472</xdr:colOff>
      <xdr:row>17</xdr:row>
      <xdr:rowOff>33619</xdr:rowOff>
    </xdr:from>
    <xdr:to>
      <xdr:col>9</xdr:col>
      <xdr:colOff>605819</xdr:colOff>
      <xdr:row>18</xdr:row>
      <xdr:rowOff>154615</xdr:rowOff>
    </xdr:to>
    <xdr:sp macro="" textlink="">
      <xdr:nvSpPr>
        <xdr:cNvPr id="60" name="Textfeld 59">
          <a:extLst>
            <a:ext uri="{FF2B5EF4-FFF2-40B4-BE49-F238E27FC236}">
              <a16:creationId xmlns:a16="http://schemas.microsoft.com/office/drawing/2014/main" id="{00000000-0008-0000-0200-00003C000000}"/>
            </a:ext>
          </a:extLst>
        </xdr:cNvPr>
        <xdr:cNvSpPr txBox="1"/>
      </xdr:nvSpPr>
      <xdr:spPr>
        <a:xfrm>
          <a:off x="6992472" y="327211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14</a:t>
          </a:r>
        </a:p>
      </xdr:txBody>
    </xdr:sp>
    <xdr:clientData/>
  </xdr:twoCellAnchor>
  <xdr:twoCellAnchor>
    <xdr:from>
      <xdr:col>11</xdr:col>
      <xdr:colOff>493059</xdr:colOff>
      <xdr:row>17</xdr:row>
      <xdr:rowOff>44824</xdr:rowOff>
    </xdr:from>
    <xdr:to>
      <xdr:col>12</xdr:col>
      <xdr:colOff>202406</xdr:colOff>
      <xdr:row>18</xdr:row>
      <xdr:rowOff>165820</xdr:rowOff>
    </xdr:to>
    <xdr:sp macro="" textlink="">
      <xdr:nvSpPr>
        <xdr:cNvPr id="61" name="Textfeld 60">
          <a:extLst>
            <a:ext uri="{FF2B5EF4-FFF2-40B4-BE49-F238E27FC236}">
              <a16:creationId xmlns:a16="http://schemas.microsoft.com/office/drawing/2014/main" id="{00000000-0008-0000-0200-00003D000000}"/>
            </a:ext>
          </a:extLst>
        </xdr:cNvPr>
        <xdr:cNvSpPr txBox="1"/>
      </xdr:nvSpPr>
      <xdr:spPr>
        <a:xfrm>
          <a:off x="8875059"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15</a:t>
          </a:r>
        </a:p>
      </xdr:txBody>
    </xdr:sp>
    <xdr:clientData/>
  </xdr:twoCellAnchor>
  <xdr:twoCellAnchor>
    <xdr:from>
      <xdr:col>12</xdr:col>
      <xdr:colOff>336176</xdr:colOff>
      <xdr:row>14</xdr:row>
      <xdr:rowOff>179294</xdr:rowOff>
    </xdr:from>
    <xdr:to>
      <xdr:col>13</xdr:col>
      <xdr:colOff>246529</xdr:colOff>
      <xdr:row>21</xdr:row>
      <xdr:rowOff>67234</xdr:rowOff>
    </xdr:to>
    <xdr:sp macro="" textlink="">
      <xdr:nvSpPr>
        <xdr:cNvPr id="62" name="Rechteck 61">
          <a:extLst>
            <a:ext uri="{FF2B5EF4-FFF2-40B4-BE49-F238E27FC236}">
              <a16:creationId xmlns:a16="http://schemas.microsoft.com/office/drawing/2014/main" id="{00000000-0008-0000-0200-00003E000000}"/>
            </a:ext>
          </a:extLst>
        </xdr:cNvPr>
        <xdr:cNvSpPr/>
      </xdr:nvSpPr>
      <xdr:spPr>
        <a:xfrm>
          <a:off x="9480176" y="2846294"/>
          <a:ext cx="672353"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425823</xdr:colOff>
      <xdr:row>17</xdr:row>
      <xdr:rowOff>44824</xdr:rowOff>
    </xdr:from>
    <xdr:to>
      <xdr:col>13</xdr:col>
      <xdr:colOff>135170</xdr:colOff>
      <xdr:row>18</xdr:row>
      <xdr:rowOff>165820</xdr:rowOff>
    </xdr:to>
    <xdr:sp macro="" textlink="">
      <xdr:nvSpPr>
        <xdr:cNvPr id="36" name="Textfeld 35">
          <a:extLst>
            <a:ext uri="{FF2B5EF4-FFF2-40B4-BE49-F238E27FC236}">
              <a16:creationId xmlns:a16="http://schemas.microsoft.com/office/drawing/2014/main" id="{00000000-0008-0000-0200-000024000000}"/>
            </a:ext>
          </a:extLst>
        </xdr:cNvPr>
        <xdr:cNvSpPr txBox="1"/>
      </xdr:nvSpPr>
      <xdr:spPr>
        <a:xfrm>
          <a:off x="9569823" y="3283324"/>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16</a:t>
          </a:r>
        </a:p>
      </xdr:txBody>
    </xdr:sp>
    <xdr:clientData/>
  </xdr:twoCellAnchor>
  <xdr:twoCellAnchor>
    <xdr:from>
      <xdr:col>13</xdr:col>
      <xdr:colOff>257734</xdr:colOff>
      <xdr:row>14</xdr:row>
      <xdr:rowOff>168088</xdr:rowOff>
    </xdr:from>
    <xdr:to>
      <xdr:col>14</xdr:col>
      <xdr:colOff>369794</xdr:colOff>
      <xdr:row>21</xdr:row>
      <xdr:rowOff>56028</xdr:rowOff>
    </xdr:to>
    <xdr:sp macro="" textlink="">
      <xdr:nvSpPr>
        <xdr:cNvPr id="63" name="Rechteck 62">
          <a:extLst>
            <a:ext uri="{FF2B5EF4-FFF2-40B4-BE49-F238E27FC236}">
              <a16:creationId xmlns:a16="http://schemas.microsoft.com/office/drawing/2014/main" id="{00000000-0008-0000-0200-00003F000000}"/>
            </a:ext>
          </a:extLst>
        </xdr:cNvPr>
        <xdr:cNvSpPr/>
      </xdr:nvSpPr>
      <xdr:spPr>
        <a:xfrm>
          <a:off x="10163734" y="2835088"/>
          <a:ext cx="874060" cy="1299881"/>
        </a:xfrm>
        <a:prstGeom prst="rect">
          <a:avLst/>
        </a:prstGeom>
        <a:solidFill>
          <a:schemeClr val="accent2">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336176</xdr:colOff>
      <xdr:row>17</xdr:row>
      <xdr:rowOff>56029</xdr:rowOff>
    </xdr:from>
    <xdr:to>
      <xdr:col>14</xdr:col>
      <xdr:colOff>45523</xdr:colOff>
      <xdr:row>18</xdr:row>
      <xdr:rowOff>177025</xdr:rowOff>
    </xdr:to>
    <xdr:sp macro="" textlink="">
      <xdr:nvSpPr>
        <xdr:cNvPr id="64" name="Textfeld 63">
          <a:extLst>
            <a:ext uri="{FF2B5EF4-FFF2-40B4-BE49-F238E27FC236}">
              <a16:creationId xmlns:a16="http://schemas.microsoft.com/office/drawing/2014/main" id="{00000000-0008-0000-0200-000040000000}"/>
            </a:ext>
          </a:extLst>
        </xdr:cNvPr>
        <xdr:cNvSpPr txBox="1"/>
      </xdr:nvSpPr>
      <xdr:spPr>
        <a:xfrm>
          <a:off x="10242176" y="3294529"/>
          <a:ext cx="471347"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17</a:t>
          </a:r>
        </a:p>
      </xdr:txBody>
    </xdr:sp>
    <xdr:clientData/>
  </xdr:twoCellAnchor>
  <xdr:twoCellAnchor>
    <xdr:from>
      <xdr:col>14</xdr:col>
      <xdr:colOff>392206</xdr:colOff>
      <xdr:row>14</xdr:row>
      <xdr:rowOff>168088</xdr:rowOff>
    </xdr:from>
    <xdr:to>
      <xdr:col>15</xdr:col>
      <xdr:colOff>78441</xdr:colOff>
      <xdr:row>21</xdr:row>
      <xdr:rowOff>56028</xdr:rowOff>
    </xdr:to>
    <xdr:sp macro="" textlink="">
      <xdr:nvSpPr>
        <xdr:cNvPr id="65" name="Rechteck 64">
          <a:extLst>
            <a:ext uri="{FF2B5EF4-FFF2-40B4-BE49-F238E27FC236}">
              <a16:creationId xmlns:a16="http://schemas.microsoft.com/office/drawing/2014/main" id="{00000000-0008-0000-0200-000041000000}"/>
            </a:ext>
          </a:extLst>
        </xdr:cNvPr>
        <xdr:cNvSpPr/>
      </xdr:nvSpPr>
      <xdr:spPr>
        <a:xfrm>
          <a:off x="11060206" y="2835088"/>
          <a:ext cx="448235" cy="1299881"/>
        </a:xfrm>
        <a:prstGeom prst="rect">
          <a:avLst/>
        </a:prstGeom>
        <a:solidFill>
          <a:srgbClr val="7030A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14</xdr:col>
      <xdr:colOff>493058</xdr:colOff>
      <xdr:row>17</xdr:row>
      <xdr:rowOff>67235</xdr:rowOff>
    </xdr:from>
    <xdr:to>
      <xdr:col>15</xdr:col>
      <xdr:colOff>100853</xdr:colOff>
      <xdr:row>18</xdr:row>
      <xdr:rowOff>188231</xdr:rowOff>
    </xdr:to>
    <xdr:sp macro="" textlink="">
      <xdr:nvSpPr>
        <xdr:cNvPr id="66" name="Textfeld 65">
          <a:extLst>
            <a:ext uri="{FF2B5EF4-FFF2-40B4-BE49-F238E27FC236}">
              <a16:creationId xmlns:a16="http://schemas.microsoft.com/office/drawing/2014/main" id="{00000000-0008-0000-0200-000042000000}"/>
            </a:ext>
          </a:extLst>
        </xdr:cNvPr>
        <xdr:cNvSpPr txBox="1"/>
      </xdr:nvSpPr>
      <xdr:spPr>
        <a:xfrm>
          <a:off x="11161058" y="3305735"/>
          <a:ext cx="36979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18</a:t>
          </a:r>
        </a:p>
      </xdr:txBody>
    </xdr:sp>
    <xdr:clientData/>
  </xdr:twoCellAnchor>
  <xdr:twoCellAnchor>
    <xdr:from>
      <xdr:col>0</xdr:col>
      <xdr:colOff>477371</xdr:colOff>
      <xdr:row>12</xdr:row>
      <xdr:rowOff>51545</xdr:rowOff>
    </xdr:from>
    <xdr:to>
      <xdr:col>1</xdr:col>
      <xdr:colOff>582706</xdr:colOff>
      <xdr:row>14</xdr:row>
      <xdr:rowOff>22410</xdr:rowOff>
    </xdr:to>
    <xdr:sp macro="" textlink="">
      <xdr:nvSpPr>
        <xdr:cNvPr id="67" name="Rechteck 66">
          <a:extLst>
            <a:ext uri="{FF2B5EF4-FFF2-40B4-BE49-F238E27FC236}">
              <a16:creationId xmlns:a16="http://schemas.microsoft.com/office/drawing/2014/main" id="{00000000-0008-0000-0200-000043000000}"/>
            </a:ext>
          </a:extLst>
        </xdr:cNvPr>
        <xdr:cNvSpPr/>
      </xdr:nvSpPr>
      <xdr:spPr>
        <a:xfrm>
          <a:off x="477371" y="2337545"/>
          <a:ext cx="867335"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2</xdr:col>
      <xdr:colOff>645459</xdr:colOff>
      <xdr:row>12</xdr:row>
      <xdr:rowOff>40339</xdr:rowOff>
    </xdr:from>
    <xdr:to>
      <xdr:col>4</xdr:col>
      <xdr:colOff>257735</xdr:colOff>
      <xdr:row>14</xdr:row>
      <xdr:rowOff>11204</xdr:rowOff>
    </xdr:to>
    <xdr:sp macro="" textlink="">
      <xdr:nvSpPr>
        <xdr:cNvPr id="68" name="Rechteck 67">
          <a:extLst>
            <a:ext uri="{FF2B5EF4-FFF2-40B4-BE49-F238E27FC236}">
              <a16:creationId xmlns:a16="http://schemas.microsoft.com/office/drawing/2014/main" id="{00000000-0008-0000-0200-000044000000}"/>
            </a:ext>
          </a:extLst>
        </xdr:cNvPr>
        <xdr:cNvSpPr/>
      </xdr:nvSpPr>
      <xdr:spPr>
        <a:xfrm>
          <a:off x="2169459" y="2326339"/>
          <a:ext cx="1136276" cy="351865"/>
        </a:xfrm>
        <a:prstGeom prst="rect">
          <a:avLst/>
        </a:prstGeom>
        <a:solidFill>
          <a:schemeClr val="accent6">
            <a:alpha val="44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5</xdr:col>
      <xdr:colOff>365312</xdr:colOff>
      <xdr:row>12</xdr:row>
      <xdr:rowOff>40339</xdr:rowOff>
    </xdr:from>
    <xdr:to>
      <xdr:col>6</xdr:col>
      <xdr:colOff>739588</xdr:colOff>
      <xdr:row>14</xdr:row>
      <xdr:rowOff>182217</xdr:rowOff>
    </xdr:to>
    <xdr:sp macro="" textlink="">
      <xdr:nvSpPr>
        <xdr:cNvPr id="69" name="Rechteck 68">
          <a:extLst>
            <a:ext uri="{FF2B5EF4-FFF2-40B4-BE49-F238E27FC236}">
              <a16:creationId xmlns:a16="http://schemas.microsoft.com/office/drawing/2014/main" id="{00000000-0008-0000-0200-000045000000}"/>
            </a:ext>
          </a:extLst>
        </xdr:cNvPr>
        <xdr:cNvSpPr/>
      </xdr:nvSpPr>
      <xdr:spPr>
        <a:xfrm>
          <a:off x="4175312" y="2326339"/>
          <a:ext cx="1136276" cy="522878"/>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8</xdr:col>
      <xdr:colOff>17929</xdr:colOff>
      <xdr:row>12</xdr:row>
      <xdr:rowOff>40339</xdr:rowOff>
    </xdr:from>
    <xdr:to>
      <xdr:col>9</xdr:col>
      <xdr:colOff>392205</xdr:colOff>
      <xdr:row>14</xdr:row>
      <xdr:rowOff>11204</xdr:rowOff>
    </xdr:to>
    <xdr:sp macro="" textlink="">
      <xdr:nvSpPr>
        <xdr:cNvPr id="70" name="Rechteck 69">
          <a:extLst>
            <a:ext uri="{FF2B5EF4-FFF2-40B4-BE49-F238E27FC236}">
              <a16:creationId xmlns:a16="http://schemas.microsoft.com/office/drawing/2014/main" id="{00000000-0008-0000-0200-000046000000}"/>
            </a:ext>
          </a:extLst>
        </xdr:cNvPr>
        <xdr:cNvSpPr/>
      </xdr:nvSpPr>
      <xdr:spPr>
        <a:xfrm>
          <a:off x="6113929"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201706</xdr:colOff>
      <xdr:row>12</xdr:row>
      <xdr:rowOff>156883</xdr:rowOff>
    </xdr:from>
    <xdr:to>
      <xdr:col>3</xdr:col>
      <xdr:colOff>546651</xdr:colOff>
      <xdr:row>14</xdr:row>
      <xdr:rowOff>87379</xdr:rowOff>
    </xdr:to>
    <xdr:sp macro="" textlink="">
      <xdr:nvSpPr>
        <xdr:cNvPr id="44" name="Textfeld 43">
          <a:extLst>
            <a:ext uri="{FF2B5EF4-FFF2-40B4-BE49-F238E27FC236}">
              <a16:creationId xmlns:a16="http://schemas.microsoft.com/office/drawing/2014/main" id="{00000000-0008-0000-0200-00002C000000}"/>
            </a:ext>
          </a:extLst>
        </xdr:cNvPr>
        <xdr:cNvSpPr txBox="1"/>
      </xdr:nvSpPr>
      <xdr:spPr>
        <a:xfrm>
          <a:off x="2487706" y="2442883"/>
          <a:ext cx="344945"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C1</a:t>
          </a:r>
        </a:p>
      </xdr:txBody>
    </xdr:sp>
    <xdr:clientData/>
  </xdr:twoCellAnchor>
  <xdr:twoCellAnchor>
    <xdr:from>
      <xdr:col>10</xdr:col>
      <xdr:colOff>454958</xdr:colOff>
      <xdr:row>12</xdr:row>
      <xdr:rowOff>40339</xdr:rowOff>
    </xdr:from>
    <xdr:to>
      <xdr:col>12</xdr:col>
      <xdr:colOff>67234</xdr:colOff>
      <xdr:row>14</xdr:row>
      <xdr:rowOff>11204</xdr:rowOff>
    </xdr:to>
    <xdr:sp macro="" textlink="">
      <xdr:nvSpPr>
        <xdr:cNvPr id="71" name="Rechteck 70">
          <a:extLst>
            <a:ext uri="{FF2B5EF4-FFF2-40B4-BE49-F238E27FC236}">
              <a16:creationId xmlns:a16="http://schemas.microsoft.com/office/drawing/2014/main" id="{00000000-0008-0000-0200-000047000000}"/>
            </a:ext>
          </a:extLst>
        </xdr:cNvPr>
        <xdr:cNvSpPr/>
      </xdr:nvSpPr>
      <xdr:spPr>
        <a:xfrm>
          <a:off x="8074958"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13</xdr:col>
      <xdr:colOff>118781</xdr:colOff>
      <xdr:row>12</xdr:row>
      <xdr:rowOff>40339</xdr:rowOff>
    </xdr:from>
    <xdr:to>
      <xdr:col>14</xdr:col>
      <xdr:colOff>493057</xdr:colOff>
      <xdr:row>14</xdr:row>
      <xdr:rowOff>11204</xdr:rowOff>
    </xdr:to>
    <xdr:sp macro="" textlink="">
      <xdr:nvSpPr>
        <xdr:cNvPr id="72" name="Rechteck 71">
          <a:extLst>
            <a:ext uri="{FF2B5EF4-FFF2-40B4-BE49-F238E27FC236}">
              <a16:creationId xmlns:a16="http://schemas.microsoft.com/office/drawing/2014/main" id="{00000000-0008-0000-0200-000048000000}"/>
            </a:ext>
          </a:extLst>
        </xdr:cNvPr>
        <xdr:cNvSpPr/>
      </xdr:nvSpPr>
      <xdr:spPr>
        <a:xfrm>
          <a:off x="10024781" y="2326339"/>
          <a:ext cx="1136276" cy="351865"/>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727894</xdr:colOff>
      <xdr:row>13</xdr:row>
      <xdr:rowOff>168573</xdr:rowOff>
    </xdr:from>
    <xdr:to>
      <xdr:col>15</xdr:col>
      <xdr:colOff>604629</xdr:colOff>
      <xdr:row>14</xdr:row>
      <xdr:rowOff>165652</xdr:rowOff>
    </xdr:to>
    <xdr:sp macro="" textlink="">
      <xdr:nvSpPr>
        <xdr:cNvPr id="74" name="Rechteck 73">
          <a:extLst>
            <a:ext uri="{FF2B5EF4-FFF2-40B4-BE49-F238E27FC236}">
              <a16:creationId xmlns:a16="http://schemas.microsoft.com/office/drawing/2014/main" id="{00000000-0008-0000-0200-00004A000000}"/>
            </a:ext>
          </a:extLst>
        </xdr:cNvPr>
        <xdr:cNvSpPr/>
      </xdr:nvSpPr>
      <xdr:spPr>
        <a:xfrm>
          <a:off x="5299894" y="2645073"/>
          <a:ext cx="6734735" cy="187579"/>
        </a:xfrm>
        <a:prstGeom prst="rect">
          <a:avLst/>
        </a:prstGeom>
        <a:solidFill>
          <a:srgbClr val="00B0F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615350</xdr:colOff>
      <xdr:row>21</xdr:row>
      <xdr:rowOff>57980</xdr:rowOff>
    </xdr:from>
    <xdr:to>
      <xdr:col>15</xdr:col>
      <xdr:colOff>422413</xdr:colOff>
      <xdr:row>22</xdr:row>
      <xdr:rowOff>74544</xdr:rowOff>
    </xdr:to>
    <xdr:sp macro="" textlink="">
      <xdr:nvSpPr>
        <xdr:cNvPr id="75" name="Rechteck 74">
          <a:extLst>
            <a:ext uri="{FF2B5EF4-FFF2-40B4-BE49-F238E27FC236}">
              <a16:creationId xmlns:a16="http://schemas.microsoft.com/office/drawing/2014/main" id="{00000000-0008-0000-0200-00004B000000}"/>
            </a:ext>
          </a:extLst>
        </xdr:cNvPr>
        <xdr:cNvSpPr/>
      </xdr:nvSpPr>
      <xdr:spPr>
        <a:xfrm>
          <a:off x="3663350" y="4133023"/>
          <a:ext cx="8189063" cy="207064"/>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4</xdr:col>
      <xdr:colOff>620222</xdr:colOff>
      <xdr:row>22</xdr:row>
      <xdr:rowOff>67236</xdr:rowOff>
    </xdr:from>
    <xdr:to>
      <xdr:col>5</xdr:col>
      <xdr:colOff>414130</xdr:colOff>
      <xdr:row>23</xdr:row>
      <xdr:rowOff>156883</xdr:rowOff>
    </xdr:to>
    <xdr:sp macro="" textlink="">
      <xdr:nvSpPr>
        <xdr:cNvPr id="76" name="Rechteck 75">
          <a:extLst>
            <a:ext uri="{FF2B5EF4-FFF2-40B4-BE49-F238E27FC236}">
              <a16:creationId xmlns:a16="http://schemas.microsoft.com/office/drawing/2014/main" id="{00000000-0008-0000-0200-00004C000000}"/>
            </a:ext>
          </a:extLst>
        </xdr:cNvPr>
        <xdr:cNvSpPr/>
      </xdr:nvSpPr>
      <xdr:spPr>
        <a:xfrm>
          <a:off x="3668222" y="4332779"/>
          <a:ext cx="555908" cy="280147"/>
        </a:xfrm>
        <a:prstGeom prst="rect">
          <a:avLst/>
        </a:prstGeom>
        <a:solidFill>
          <a:srgbClr val="FFC000">
            <a:alpha val="44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6</xdr:col>
      <xdr:colOff>127163</xdr:colOff>
      <xdr:row>12</xdr:row>
      <xdr:rowOff>148600</xdr:rowOff>
    </xdr:from>
    <xdr:to>
      <xdr:col>6</xdr:col>
      <xdr:colOff>455542</xdr:colOff>
      <xdr:row>14</xdr:row>
      <xdr:rowOff>79096</xdr:rowOff>
    </xdr:to>
    <xdr:sp macro="" textlink="">
      <xdr:nvSpPr>
        <xdr:cNvPr id="77" name="Textfeld 76">
          <a:extLst>
            <a:ext uri="{FF2B5EF4-FFF2-40B4-BE49-F238E27FC236}">
              <a16:creationId xmlns:a16="http://schemas.microsoft.com/office/drawing/2014/main" id="{00000000-0008-0000-0200-00004D000000}"/>
            </a:ext>
          </a:extLst>
        </xdr:cNvPr>
        <xdr:cNvSpPr txBox="1"/>
      </xdr:nvSpPr>
      <xdr:spPr>
        <a:xfrm>
          <a:off x="4699163" y="2434600"/>
          <a:ext cx="328379"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C2</a:t>
          </a:r>
        </a:p>
      </xdr:txBody>
    </xdr:sp>
    <xdr:clientData/>
  </xdr:twoCellAnchor>
  <xdr:twoCellAnchor>
    <xdr:from>
      <xdr:col>7</xdr:col>
      <xdr:colOff>171987</xdr:colOff>
      <xdr:row>21</xdr:row>
      <xdr:rowOff>151524</xdr:rowOff>
    </xdr:from>
    <xdr:to>
      <xdr:col>7</xdr:col>
      <xdr:colOff>538370</xdr:colOff>
      <xdr:row>23</xdr:row>
      <xdr:rowOff>82020</xdr:rowOff>
    </xdr:to>
    <xdr:sp macro="" textlink="">
      <xdr:nvSpPr>
        <xdr:cNvPr id="78" name="Textfeld 77">
          <a:extLst>
            <a:ext uri="{FF2B5EF4-FFF2-40B4-BE49-F238E27FC236}">
              <a16:creationId xmlns:a16="http://schemas.microsoft.com/office/drawing/2014/main" id="{00000000-0008-0000-0200-00004E000000}"/>
            </a:ext>
          </a:extLst>
        </xdr:cNvPr>
        <xdr:cNvSpPr txBox="1"/>
      </xdr:nvSpPr>
      <xdr:spPr>
        <a:xfrm>
          <a:off x="5505987" y="4226567"/>
          <a:ext cx="366383" cy="311496"/>
        </a:xfrm>
        <a:prstGeom prst="rect">
          <a:avLst/>
        </a:prstGeom>
        <a:solidFill>
          <a:schemeClr val="bg1"/>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de-DE" sz="1400" b="1"/>
            <a:t>B2</a:t>
          </a:r>
        </a:p>
      </xdr:txBody>
    </xdr:sp>
    <xdr:clientData/>
  </xdr:twoCellAnchor>
</xdr:wsDr>
</file>

<file path=xl/drawings/drawing20.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5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5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1.xml><?xml version="1.0" encoding="utf-8"?>
<xdr:wsDr xmlns:xdr="http://schemas.openxmlformats.org/drawingml/2006/spreadsheetDrawing" xmlns:a="http://schemas.openxmlformats.org/drawingml/2006/main">
  <xdr:oneCellAnchor>
    <xdr:from>
      <xdr:col>34</xdr:col>
      <xdr:colOff>699247</xdr:colOff>
      <xdr:row>4</xdr:row>
      <xdr:rowOff>0</xdr:rowOff>
    </xdr:from>
    <xdr:ext cx="2286000" cy="264560"/>
    <xdr:sp macro="" textlink="">
      <xdr:nvSpPr>
        <xdr:cNvPr id="2" name="Textfeld 1">
          <a:extLst>
            <a:ext uri="{FF2B5EF4-FFF2-40B4-BE49-F238E27FC236}">
              <a16:creationId xmlns:a16="http://schemas.microsoft.com/office/drawing/2014/main" id="{00000000-0008-0000-16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6</xdr:row>
      <xdr:rowOff>0</xdr:rowOff>
    </xdr:from>
    <xdr:ext cx="2286000" cy="264560"/>
    <xdr:sp macro="" textlink="">
      <xdr:nvSpPr>
        <xdr:cNvPr id="3" name="Textfeld 2">
          <a:extLst>
            <a:ext uri="{FF2B5EF4-FFF2-40B4-BE49-F238E27FC236}">
              <a16:creationId xmlns:a16="http://schemas.microsoft.com/office/drawing/2014/main" id="{00000000-0008-0000-16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2.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7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7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3.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18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18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4.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00000000-0008-0000-19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19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4" name="Textfeld 3">
          <a:extLst>
            <a:ext uri="{FF2B5EF4-FFF2-40B4-BE49-F238E27FC236}">
              <a16:creationId xmlns:a16="http://schemas.microsoft.com/office/drawing/2014/main" id="{994A5D26-27AD-4F23-A2A9-8006BEE89B7E}"/>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5" name="Textfeld 4">
          <a:extLst>
            <a:ext uri="{FF2B5EF4-FFF2-40B4-BE49-F238E27FC236}">
              <a16:creationId xmlns:a16="http://schemas.microsoft.com/office/drawing/2014/main" id="{05474F75-7539-4356-A10C-CFCFC318C316}"/>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6" name="Textfeld 5">
          <a:extLst>
            <a:ext uri="{FF2B5EF4-FFF2-40B4-BE49-F238E27FC236}">
              <a16:creationId xmlns:a16="http://schemas.microsoft.com/office/drawing/2014/main" id="{A84EF4BB-3106-4AEE-9246-FDBF83BC77F7}"/>
            </a:ext>
          </a:extLst>
        </xdr:cNvPr>
        <xdr:cNvSpPr txBox="1"/>
      </xdr:nvSpPr>
      <xdr:spPr>
        <a:xfrm>
          <a:off x="39856522"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7" name="Textfeld 6">
          <a:extLst>
            <a:ext uri="{FF2B5EF4-FFF2-40B4-BE49-F238E27FC236}">
              <a16:creationId xmlns:a16="http://schemas.microsoft.com/office/drawing/2014/main" id="{0864E03B-F05B-4F1F-B9D6-E9A99193B16A}"/>
            </a:ext>
          </a:extLst>
        </xdr:cNvPr>
        <xdr:cNvSpPr txBox="1"/>
      </xdr:nvSpPr>
      <xdr:spPr>
        <a:xfrm>
          <a:off x="39856522"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8" name="Textfeld 7">
          <a:extLst>
            <a:ext uri="{FF2B5EF4-FFF2-40B4-BE49-F238E27FC236}">
              <a16:creationId xmlns:a16="http://schemas.microsoft.com/office/drawing/2014/main" id="{0903B8DA-7D85-408D-8316-E56DFD81FF4D}"/>
            </a:ext>
          </a:extLst>
        </xdr:cNvPr>
        <xdr:cNvSpPr txBox="1"/>
      </xdr:nvSpPr>
      <xdr:spPr>
        <a:xfrm>
          <a:off x="39856522"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9" name="Textfeld 8">
          <a:extLst>
            <a:ext uri="{FF2B5EF4-FFF2-40B4-BE49-F238E27FC236}">
              <a16:creationId xmlns:a16="http://schemas.microsoft.com/office/drawing/2014/main" id="{5967718F-7823-4DFB-8745-237A1D79EEE4}"/>
            </a:ext>
          </a:extLst>
        </xdr:cNvPr>
        <xdr:cNvSpPr txBox="1"/>
      </xdr:nvSpPr>
      <xdr:spPr>
        <a:xfrm>
          <a:off x="39856522"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10" name="Textfeld 9">
          <a:extLst>
            <a:ext uri="{FF2B5EF4-FFF2-40B4-BE49-F238E27FC236}">
              <a16:creationId xmlns:a16="http://schemas.microsoft.com/office/drawing/2014/main" id="{07F3507C-4E6B-4456-918B-36791C039F35}"/>
            </a:ext>
          </a:extLst>
        </xdr:cNvPr>
        <xdr:cNvSpPr txBox="1"/>
      </xdr:nvSpPr>
      <xdr:spPr>
        <a:xfrm>
          <a:off x="39856522"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23</xdr:row>
      <xdr:rowOff>0</xdr:rowOff>
    </xdr:from>
    <xdr:ext cx="2286000" cy="264560"/>
    <xdr:sp macro="" textlink="">
      <xdr:nvSpPr>
        <xdr:cNvPr id="11" name="Textfeld 10">
          <a:extLst>
            <a:ext uri="{FF2B5EF4-FFF2-40B4-BE49-F238E27FC236}">
              <a16:creationId xmlns:a16="http://schemas.microsoft.com/office/drawing/2014/main" id="{08F75332-CD17-4A49-A5F0-84373C39DEC2}"/>
            </a:ext>
          </a:extLst>
        </xdr:cNvPr>
        <xdr:cNvSpPr txBox="1"/>
      </xdr:nvSpPr>
      <xdr:spPr>
        <a:xfrm>
          <a:off x="39856522"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23</xdr:row>
      <xdr:rowOff>0</xdr:rowOff>
    </xdr:from>
    <xdr:ext cx="2286000" cy="264560"/>
    <xdr:sp macro="" textlink="">
      <xdr:nvSpPr>
        <xdr:cNvPr id="12" name="Textfeld 11">
          <a:extLst>
            <a:ext uri="{FF2B5EF4-FFF2-40B4-BE49-F238E27FC236}">
              <a16:creationId xmlns:a16="http://schemas.microsoft.com/office/drawing/2014/main" id="{633098C6-34EF-491C-AE50-DF270DAAD087}"/>
            </a:ext>
          </a:extLst>
        </xdr:cNvPr>
        <xdr:cNvSpPr txBox="1"/>
      </xdr:nvSpPr>
      <xdr:spPr>
        <a:xfrm>
          <a:off x="39856522"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23</xdr:row>
      <xdr:rowOff>0</xdr:rowOff>
    </xdr:from>
    <xdr:ext cx="2286000" cy="264560"/>
    <xdr:sp macro="" textlink="">
      <xdr:nvSpPr>
        <xdr:cNvPr id="13" name="Textfeld 12">
          <a:extLst>
            <a:ext uri="{FF2B5EF4-FFF2-40B4-BE49-F238E27FC236}">
              <a16:creationId xmlns:a16="http://schemas.microsoft.com/office/drawing/2014/main" id="{C4B48EE2-79EC-44A0-86E6-6E9C882FB9BB}"/>
            </a:ext>
          </a:extLst>
        </xdr:cNvPr>
        <xdr:cNvSpPr txBox="1"/>
      </xdr:nvSpPr>
      <xdr:spPr>
        <a:xfrm>
          <a:off x="39856522"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25</xdr:row>
      <xdr:rowOff>0</xdr:rowOff>
    </xdr:from>
    <xdr:ext cx="2286000" cy="264560"/>
    <xdr:sp macro="" textlink="">
      <xdr:nvSpPr>
        <xdr:cNvPr id="14" name="Textfeld 13">
          <a:extLst>
            <a:ext uri="{FF2B5EF4-FFF2-40B4-BE49-F238E27FC236}">
              <a16:creationId xmlns:a16="http://schemas.microsoft.com/office/drawing/2014/main" id="{15BFE061-200D-460D-B2C8-0E890F86A866}"/>
            </a:ext>
          </a:extLst>
        </xdr:cNvPr>
        <xdr:cNvSpPr txBox="1"/>
      </xdr:nvSpPr>
      <xdr:spPr>
        <a:xfrm>
          <a:off x="39856522" y="364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25</xdr:row>
      <xdr:rowOff>0</xdr:rowOff>
    </xdr:from>
    <xdr:ext cx="2286000" cy="264560"/>
    <xdr:sp macro="" textlink="">
      <xdr:nvSpPr>
        <xdr:cNvPr id="15" name="Textfeld 14">
          <a:extLst>
            <a:ext uri="{FF2B5EF4-FFF2-40B4-BE49-F238E27FC236}">
              <a16:creationId xmlns:a16="http://schemas.microsoft.com/office/drawing/2014/main" id="{6BA09540-C964-4261-BEE9-A2C1F09A7CA7}"/>
            </a:ext>
          </a:extLst>
        </xdr:cNvPr>
        <xdr:cNvSpPr txBox="1"/>
      </xdr:nvSpPr>
      <xdr:spPr>
        <a:xfrm>
          <a:off x="39856522" y="4410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25</xdr:row>
      <xdr:rowOff>0</xdr:rowOff>
    </xdr:from>
    <xdr:ext cx="2286000" cy="264560"/>
    <xdr:sp macro="" textlink="">
      <xdr:nvSpPr>
        <xdr:cNvPr id="16" name="Textfeld 15">
          <a:extLst>
            <a:ext uri="{FF2B5EF4-FFF2-40B4-BE49-F238E27FC236}">
              <a16:creationId xmlns:a16="http://schemas.microsoft.com/office/drawing/2014/main" id="{D0A4E069-A3CF-46E3-9F40-BC95EBB54477}"/>
            </a:ext>
          </a:extLst>
        </xdr:cNvPr>
        <xdr:cNvSpPr txBox="1"/>
      </xdr:nvSpPr>
      <xdr:spPr>
        <a:xfrm>
          <a:off x="39856522" y="4410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25</xdr:row>
      <xdr:rowOff>0</xdr:rowOff>
    </xdr:from>
    <xdr:ext cx="2286000" cy="264560"/>
    <xdr:sp macro="" textlink="">
      <xdr:nvSpPr>
        <xdr:cNvPr id="17" name="Textfeld 16">
          <a:extLst>
            <a:ext uri="{FF2B5EF4-FFF2-40B4-BE49-F238E27FC236}">
              <a16:creationId xmlns:a16="http://schemas.microsoft.com/office/drawing/2014/main" id="{F666CFE2-5790-4626-B71E-D7D7DA4B2DBD}"/>
            </a:ext>
          </a:extLst>
        </xdr:cNvPr>
        <xdr:cNvSpPr txBox="1"/>
      </xdr:nvSpPr>
      <xdr:spPr>
        <a:xfrm>
          <a:off x="39856522" y="4410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18" name="Textfeld 17">
          <a:extLst>
            <a:ext uri="{FF2B5EF4-FFF2-40B4-BE49-F238E27FC236}">
              <a16:creationId xmlns:a16="http://schemas.microsoft.com/office/drawing/2014/main" id="{F3E54B62-EE23-49D7-B5F4-38DBB176D275}"/>
            </a:ext>
          </a:extLst>
        </xdr:cNvPr>
        <xdr:cNvSpPr txBox="1"/>
      </xdr:nvSpPr>
      <xdr:spPr>
        <a:xfrm>
          <a:off x="39856522" y="479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19" name="Textfeld 18">
          <a:extLst>
            <a:ext uri="{FF2B5EF4-FFF2-40B4-BE49-F238E27FC236}">
              <a16:creationId xmlns:a16="http://schemas.microsoft.com/office/drawing/2014/main" id="{A51705C7-A246-435D-BDB4-738D2F990B64}"/>
            </a:ext>
          </a:extLst>
        </xdr:cNvPr>
        <xdr:cNvSpPr txBox="1"/>
      </xdr:nvSpPr>
      <xdr:spPr>
        <a:xfrm>
          <a:off x="39856522" y="479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20" name="Textfeld 19">
          <a:extLst>
            <a:ext uri="{FF2B5EF4-FFF2-40B4-BE49-F238E27FC236}">
              <a16:creationId xmlns:a16="http://schemas.microsoft.com/office/drawing/2014/main" id="{053A9B2B-2499-4FF8-A9BB-67C5AA579DC0}"/>
            </a:ext>
          </a:extLst>
        </xdr:cNvPr>
        <xdr:cNvSpPr txBox="1"/>
      </xdr:nvSpPr>
      <xdr:spPr>
        <a:xfrm>
          <a:off x="39856522" y="479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21" name="Textfeld 20">
          <a:extLst>
            <a:ext uri="{FF2B5EF4-FFF2-40B4-BE49-F238E27FC236}">
              <a16:creationId xmlns:a16="http://schemas.microsoft.com/office/drawing/2014/main" id="{D3FC3D9A-E9BF-46E6-A8A9-DA906F6B1E31}"/>
            </a:ext>
          </a:extLst>
        </xdr:cNvPr>
        <xdr:cNvSpPr txBox="1"/>
      </xdr:nvSpPr>
      <xdr:spPr>
        <a:xfrm>
          <a:off x="39856522" y="479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22" name="Textfeld 21">
          <a:extLst>
            <a:ext uri="{FF2B5EF4-FFF2-40B4-BE49-F238E27FC236}">
              <a16:creationId xmlns:a16="http://schemas.microsoft.com/office/drawing/2014/main" id="{594F1D39-53D9-4691-9341-34AA505918EE}"/>
            </a:ext>
          </a:extLst>
        </xdr:cNvPr>
        <xdr:cNvSpPr txBox="1"/>
      </xdr:nvSpPr>
      <xdr:spPr>
        <a:xfrm>
          <a:off x="39856522" y="479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3" name="Textfeld 22">
          <a:extLst>
            <a:ext uri="{FF2B5EF4-FFF2-40B4-BE49-F238E27FC236}">
              <a16:creationId xmlns:a16="http://schemas.microsoft.com/office/drawing/2014/main" id="{A2D494E2-8963-4141-B6F5-704C34AEFF47}"/>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4" name="Textfeld 23">
          <a:extLst>
            <a:ext uri="{FF2B5EF4-FFF2-40B4-BE49-F238E27FC236}">
              <a16:creationId xmlns:a16="http://schemas.microsoft.com/office/drawing/2014/main" id="{951AC5DC-D93C-4919-A3EC-6A94A5E02D42}"/>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5" name="Textfeld 24">
          <a:extLst>
            <a:ext uri="{FF2B5EF4-FFF2-40B4-BE49-F238E27FC236}">
              <a16:creationId xmlns:a16="http://schemas.microsoft.com/office/drawing/2014/main" id="{5D7046A7-57CF-4A21-9256-EFE43F12DEB5}"/>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6" name="Textfeld 25">
          <a:extLst>
            <a:ext uri="{FF2B5EF4-FFF2-40B4-BE49-F238E27FC236}">
              <a16:creationId xmlns:a16="http://schemas.microsoft.com/office/drawing/2014/main" id="{CD8153E0-8F9F-4AB9-9816-4118D0A76C03}"/>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7" name="Textfeld 26">
          <a:extLst>
            <a:ext uri="{FF2B5EF4-FFF2-40B4-BE49-F238E27FC236}">
              <a16:creationId xmlns:a16="http://schemas.microsoft.com/office/drawing/2014/main" id="{85E2BFA1-DF76-413E-A52D-4CE69E21C90E}"/>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8" name="Textfeld 27">
          <a:extLst>
            <a:ext uri="{FF2B5EF4-FFF2-40B4-BE49-F238E27FC236}">
              <a16:creationId xmlns:a16="http://schemas.microsoft.com/office/drawing/2014/main" id="{B5C957E3-84EC-4D06-A4E0-E9BD01F43BB3}"/>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31</xdr:row>
      <xdr:rowOff>0</xdr:rowOff>
    </xdr:from>
    <xdr:ext cx="2286000" cy="264560"/>
    <xdr:sp macro="" textlink="">
      <xdr:nvSpPr>
        <xdr:cNvPr id="29" name="Textfeld 28">
          <a:extLst>
            <a:ext uri="{FF2B5EF4-FFF2-40B4-BE49-F238E27FC236}">
              <a16:creationId xmlns:a16="http://schemas.microsoft.com/office/drawing/2014/main" id="{0026E5F6-6ED0-4A7C-A0EC-8D413393BE97}"/>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0" name="Textfeld 29">
          <a:extLst>
            <a:ext uri="{FF2B5EF4-FFF2-40B4-BE49-F238E27FC236}">
              <a16:creationId xmlns:a16="http://schemas.microsoft.com/office/drawing/2014/main" id="{83EF87DC-5B59-4B4B-A630-7EDAB4A0E408}"/>
            </a:ext>
          </a:extLst>
        </xdr:cNvPr>
        <xdr:cNvSpPr txBox="1"/>
      </xdr:nvSpPr>
      <xdr:spPr>
        <a:xfrm>
          <a:off x="39856522" y="593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1" name="Textfeld 30">
          <a:extLst>
            <a:ext uri="{FF2B5EF4-FFF2-40B4-BE49-F238E27FC236}">
              <a16:creationId xmlns:a16="http://schemas.microsoft.com/office/drawing/2014/main" id="{A1E3F560-8F3E-4CA6-B70A-43F321403BB6}"/>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2" name="Textfeld 31">
          <a:extLst>
            <a:ext uri="{FF2B5EF4-FFF2-40B4-BE49-F238E27FC236}">
              <a16:creationId xmlns:a16="http://schemas.microsoft.com/office/drawing/2014/main" id="{44A1EA6F-1891-4669-9D2F-B39F6B3AC528}"/>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3" name="Textfeld 32">
          <a:extLst>
            <a:ext uri="{FF2B5EF4-FFF2-40B4-BE49-F238E27FC236}">
              <a16:creationId xmlns:a16="http://schemas.microsoft.com/office/drawing/2014/main" id="{1E1B6803-975A-4291-B2FA-96ABF0B1F874}"/>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4" name="Textfeld 33">
          <a:extLst>
            <a:ext uri="{FF2B5EF4-FFF2-40B4-BE49-F238E27FC236}">
              <a16:creationId xmlns:a16="http://schemas.microsoft.com/office/drawing/2014/main" id="{C79F4EE5-A76F-4B9E-B17C-02D541EEC648}"/>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5" name="Textfeld 34">
          <a:extLst>
            <a:ext uri="{FF2B5EF4-FFF2-40B4-BE49-F238E27FC236}">
              <a16:creationId xmlns:a16="http://schemas.microsoft.com/office/drawing/2014/main" id="{8A1DBCFD-1CA4-46D3-87E5-79594B4FB081}"/>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6" name="Textfeld 35">
          <a:extLst>
            <a:ext uri="{FF2B5EF4-FFF2-40B4-BE49-F238E27FC236}">
              <a16:creationId xmlns:a16="http://schemas.microsoft.com/office/drawing/2014/main" id="{CA2F220F-EE57-430D-BB9D-042568483E7C}"/>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37" name="Textfeld 36">
          <a:extLst>
            <a:ext uri="{FF2B5EF4-FFF2-40B4-BE49-F238E27FC236}">
              <a16:creationId xmlns:a16="http://schemas.microsoft.com/office/drawing/2014/main" id="{E803F0E1-3BC0-4F7E-B78D-468A204D1289}"/>
            </a:ext>
          </a:extLst>
        </xdr:cNvPr>
        <xdr:cNvSpPr txBox="1"/>
      </xdr:nvSpPr>
      <xdr:spPr>
        <a:xfrm>
          <a:off x="39856522" y="593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38" name="Textfeld 37">
          <a:extLst>
            <a:ext uri="{FF2B5EF4-FFF2-40B4-BE49-F238E27FC236}">
              <a16:creationId xmlns:a16="http://schemas.microsoft.com/office/drawing/2014/main" id="{DE66D82A-7F9A-48BF-A356-D49B86ACDCD5}"/>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39" name="Textfeld 38">
          <a:extLst>
            <a:ext uri="{FF2B5EF4-FFF2-40B4-BE49-F238E27FC236}">
              <a16:creationId xmlns:a16="http://schemas.microsoft.com/office/drawing/2014/main" id="{055FB92C-E0F3-4FE3-B14A-2A1EC00A7D17}"/>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0" name="Textfeld 39">
          <a:extLst>
            <a:ext uri="{FF2B5EF4-FFF2-40B4-BE49-F238E27FC236}">
              <a16:creationId xmlns:a16="http://schemas.microsoft.com/office/drawing/2014/main" id="{EF8C85D9-6FB7-435F-922D-8E4411B02E25}"/>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1" name="Textfeld 40">
          <a:extLst>
            <a:ext uri="{FF2B5EF4-FFF2-40B4-BE49-F238E27FC236}">
              <a16:creationId xmlns:a16="http://schemas.microsoft.com/office/drawing/2014/main" id="{52609108-D307-405E-A6F0-830E649D59EB}"/>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2" name="Textfeld 41">
          <a:extLst>
            <a:ext uri="{FF2B5EF4-FFF2-40B4-BE49-F238E27FC236}">
              <a16:creationId xmlns:a16="http://schemas.microsoft.com/office/drawing/2014/main" id="{C8FCB0DE-6BA7-427E-8841-8D2D8FCE35AD}"/>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3" name="Textfeld 42">
          <a:extLst>
            <a:ext uri="{FF2B5EF4-FFF2-40B4-BE49-F238E27FC236}">
              <a16:creationId xmlns:a16="http://schemas.microsoft.com/office/drawing/2014/main" id="{64E2BE7B-2BB7-43A4-A797-3FDF57E82C54}"/>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4" name="Textfeld 43">
          <a:extLst>
            <a:ext uri="{FF2B5EF4-FFF2-40B4-BE49-F238E27FC236}">
              <a16:creationId xmlns:a16="http://schemas.microsoft.com/office/drawing/2014/main" id="{C382E57A-3BE0-4667-9C62-78E60753849F}"/>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5" name="Textfeld 44">
          <a:extLst>
            <a:ext uri="{FF2B5EF4-FFF2-40B4-BE49-F238E27FC236}">
              <a16:creationId xmlns:a16="http://schemas.microsoft.com/office/drawing/2014/main" id="{AC3DEAAC-E47C-4C9E-A7E7-4EEF1C95AAC7}"/>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6" name="Textfeld 45">
          <a:extLst>
            <a:ext uri="{FF2B5EF4-FFF2-40B4-BE49-F238E27FC236}">
              <a16:creationId xmlns:a16="http://schemas.microsoft.com/office/drawing/2014/main" id="{B94CCB4B-6B18-4715-96B1-77C8CB99797E}"/>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7" name="Textfeld 46">
          <a:extLst>
            <a:ext uri="{FF2B5EF4-FFF2-40B4-BE49-F238E27FC236}">
              <a16:creationId xmlns:a16="http://schemas.microsoft.com/office/drawing/2014/main" id="{05311C6E-E8D0-4F08-AF00-BA2814A3C6DF}"/>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8" name="Textfeld 47">
          <a:extLst>
            <a:ext uri="{FF2B5EF4-FFF2-40B4-BE49-F238E27FC236}">
              <a16:creationId xmlns:a16="http://schemas.microsoft.com/office/drawing/2014/main" id="{85F8F9A4-3764-405B-AAB4-5E18FF050FAC}"/>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9" name="Textfeld 48">
          <a:extLst>
            <a:ext uri="{FF2B5EF4-FFF2-40B4-BE49-F238E27FC236}">
              <a16:creationId xmlns:a16="http://schemas.microsoft.com/office/drawing/2014/main" id="{38C7460F-7397-4838-A269-89846A22ED1C}"/>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50" name="Textfeld 49">
          <a:extLst>
            <a:ext uri="{FF2B5EF4-FFF2-40B4-BE49-F238E27FC236}">
              <a16:creationId xmlns:a16="http://schemas.microsoft.com/office/drawing/2014/main" id="{5225EB93-1620-4211-BB3F-BECA5687AA17}"/>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51" name="Textfeld 50">
          <a:extLst>
            <a:ext uri="{FF2B5EF4-FFF2-40B4-BE49-F238E27FC236}">
              <a16:creationId xmlns:a16="http://schemas.microsoft.com/office/drawing/2014/main" id="{BC525B27-DAC2-42C6-B2CE-D0D3284F4503}"/>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52" name="Textfeld 51">
          <a:extLst>
            <a:ext uri="{FF2B5EF4-FFF2-40B4-BE49-F238E27FC236}">
              <a16:creationId xmlns:a16="http://schemas.microsoft.com/office/drawing/2014/main" id="{AF64DC8A-FA5F-4A39-A777-FD9D6F979E51}"/>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3" name="Textfeld 52">
          <a:extLst>
            <a:ext uri="{FF2B5EF4-FFF2-40B4-BE49-F238E27FC236}">
              <a16:creationId xmlns:a16="http://schemas.microsoft.com/office/drawing/2014/main" id="{A59CD5C3-BEF3-44E4-921A-B44893CE126B}"/>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4" name="Textfeld 53">
          <a:extLst>
            <a:ext uri="{FF2B5EF4-FFF2-40B4-BE49-F238E27FC236}">
              <a16:creationId xmlns:a16="http://schemas.microsoft.com/office/drawing/2014/main" id="{7121AA9C-C0D9-4892-A29C-3DF3AC528FA9}"/>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5" name="Textfeld 54">
          <a:extLst>
            <a:ext uri="{FF2B5EF4-FFF2-40B4-BE49-F238E27FC236}">
              <a16:creationId xmlns:a16="http://schemas.microsoft.com/office/drawing/2014/main" id="{DBBFCB35-1252-4316-A490-B8D296C8BCA3}"/>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6" name="Textfeld 55">
          <a:extLst>
            <a:ext uri="{FF2B5EF4-FFF2-40B4-BE49-F238E27FC236}">
              <a16:creationId xmlns:a16="http://schemas.microsoft.com/office/drawing/2014/main" id="{03A3F3DC-17FF-4F37-AA1C-8FBDC812AE16}"/>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7" name="Textfeld 56">
          <a:extLst>
            <a:ext uri="{FF2B5EF4-FFF2-40B4-BE49-F238E27FC236}">
              <a16:creationId xmlns:a16="http://schemas.microsoft.com/office/drawing/2014/main" id="{4B51BF33-FBAC-4617-BD35-E9C7C3E81D9C}"/>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8" name="Textfeld 57">
          <a:extLst>
            <a:ext uri="{FF2B5EF4-FFF2-40B4-BE49-F238E27FC236}">
              <a16:creationId xmlns:a16="http://schemas.microsoft.com/office/drawing/2014/main" id="{20632642-C24C-4915-8939-5C8D8466A7DC}"/>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9" name="Textfeld 58">
          <a:extLst>
            <a:ext uri="{FF2B5EF4-FFF2-40B4-BE49-F238E27FC236}">
              <a16:creationId xmlns:a16="http://schemas.microsoft.com/office/drawing/2014/main" id="{6EF0578E-DDAF-4E1A-A5CA-3979976B245F}"/>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60" name="Textfeld 59">
          <a:extLst>
            <a:ext uri="{FF2B5EF4-FFF2-40B4-BE49-F238E27FC236}">
              <a16:creationId xmlns:a16="http://schemas.microsoft.com/office/drawing/2014/main" id="{344C2076-B0C8-4BE3-BA5C-935E7B2D7455}"/>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5.xml><?xml version="1.0" encoding="utf-8"?>
<xdr:wsDr xmlns:xdr="http://schemas.openxmlformats.org/drawingml/2006/spreadsheetDrawing" xmlns:a="http://schemas.openxmlformats.org/drawingml/2006/main">
  <xdr:oneCellAnchor>
    <xdr:from>
      <xdr:col>34</xdr:col>
      <xdr:colOff>699247</xdr:colOff>
      <xdr:row>8</xdr:row>
      <xdr:rowOff>0</xdr:rowOff>
    </xdr:from>
    <xdr:ext cx="2286000" cy="264560"/>
    <xdr:sp macro="" textlink="">
      <xdr:nvSpPr>
        <xdr:cNvPr id="2" name="Textfeld 1">
          <a:extLst>
            <a:ext uri="{FF2B5EF4-FFF2-40B4-BE49-F238E27FC236}">
              <a16:creationId xmlns:a16="http://schemas.microsoft.com/office/drawing/2014/main" id="{A7909DDB-DBC4-4CF6-86CB-10C296E8CC4C}"/>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1130173B-7A13-4884-B1DE-ABEDB2AD205A}"/>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4" name="Textfeld 3">
          <a:extLst>
            <a:ext uri="{FF2B5EF4-FFF2-40B4-BE49-F238E27FC236}">
              <a16:creationId xmlns:a16="http://schemas.microsoft.com/office/drawing/2014/main" id="{9F2094BA-EDE0-4079-84EF-CE4668F2AB85}"/>
            </a:ext>
          </a:extLst>
        </xdr:cNvPr>
        <xdr:cNvSpPr txBox="1"/>
      </xdr:nvSpPr>
      <xdr:spPr>
        <a:xfrm>
          <a:off x="39856522"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5" name="Textfeld 4">
          <a:extLst>
            <a:ext uri="{FF2B5EF4-FFF2-40B4-BE49-F238E27FC236}">
              <a16:creationId xmlns:a16="http://schemas.microsoft.com/office/drawing/2014/main" id="{FCE15580-531D-4570-8CC3-9D909916B2F5}"/>
            </a:ext>
          </a:extLst>
        </xdr:cNvPr>
        <xdr:cNvSpPr txBox="1"/>
      </xdr:nvSpPr>
      <xdr:spPr>
        <a:xfrm>
          <a:off x="39856522"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6" name="Textfeld 5">
          <a:extLst>
            <a:ext uri="{FF2B5EF4-FFF2-40B4-BE49-F238E27FC236}">
              <a16:creationId xmlns:a16="http://schemas.microsoft.com/office/drawing/2014/main" id="{E3DE392E-61C5-4879-A0F0-F18FCA3A9048}"/>
            </a:ext>
          </a:extLst>
        </xdr:cNvPr>
        <xdr:cNvSpPr txBox="1"/>
      </xdr:nvSpPr>
      <xdr:spPr>
        <a:xfrm>
          <a:off x="39856522"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7" name="Textfeld 6">
          <a:extLst>
            <a:ext uri="{FF2B5EF4-FFF2-40B4-BE49-F238E27FC236}">
              <a16:creationId xmlns:a16="http://schemas.microsoft.com/office/drawing/2014/main" id="{F5FBB42A-EE16-4E02-99C7-96B909BE839C}"/>
            </a:ext>
          </a:extLst>
        </xdr:cNvPr>
        <xdr:cNvSpPr txBox="1"/>
      </xdr:nvSpPr>
      <xdr:spPr>
        <a:xfrm>
          <a:off x="39856522"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8" name="Textfeld 7">
          <a:extLst>
            <a:ext uri="{FF2B5EF4-FFF2-40B4-BE49-F238E27FC236}">
              <a16:creationId xmlns:a16="http://schemas.microsoft.com/office/drawing/2014/main" id="{AF69C212-65DD-4078-B571-76B9E12F0DA1}"/>
            </a:ext>
          </a:extLst>
        </xdr:cNvPr>
        <xdr:cNvSpPr txBox="1"/>
      </xdr:nvSpPr>
      <xdr:spPr>
        <a:xfrm>
          <a:off x="39856522"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17</xdr:row>
      <xdr:rowOff>0</xdr:rowOff>
    </xdr:from>
    <xdr:ext cx="2286000" cy="264560"/>
    <xdr:sp macro="" textlink="">
      <xdr:nvSpPr>
        <xdr:cNvPr id="9" name="Textfeld 8">
          <a:extLst>
            <a:ext uri="{FF2B5EF4-FFF2-40B4-BE49-F238E27FC236}">
              <a16:creationId xmlns:a16="http://schemas.microsoft.com/office/drawing/2014/main" id="{BAC60963-1FF7-4253-A5B7-DA02BECACFB9}"/>
            </a:ext>
          </a:extLst>
        </xdr:cNvPr>
        <xdr:cNvSpPr txBox="1"/>
      </xdr:nvSpPr>
      <xdr:spPr>
        <a:xfrm>
          <a:off x="39856522" y="326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19</xdr:row>
      <xdr:rowOff>0</xdr:rowOff>
    </xdr:from>
    <xdr:ext cx="2286000" cy="264560"/>
    <xdr:sp macro="" textlink="">
      <xdr:nvSpPr>
        <xdr:cNvPr id="10" name="Textfeld 9">
          <a:extLst>
            <a:ext uri="{FF2B5EF4-FFF2-40B4-BE49-F238E27FC236}">
              <a16:creationId xmlns:a16="http://schemas.microsoft.com/office/drawing/2014/main" id="{E9EFE5FC-CA57-4541-B249-FFAFA3733C4D}"/>
            </a:ext>
          </a:extLst>
        </xdr:cNvPr>
        <xdr:cNvSpPr txBox="1"/>
      </xdr:nvSpPr>
      <xdr:spPr>
        <a:xfrm>
          <a:off x="39856522" y="364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23</xdr:row>
      <xdr:rowOff>0</xdr:rowOff>
    </xdr:from>
    <xdr:ext cx="2286000" cy="264560"/>
    <xdr:sp macro="" textlink="">
      <xdr:nvSpPr>
        <xdr:cNvPr id="11" name="Textfeld 10">
          <a:extLst>
            <a:ext uri="{FF2B5EF4-FFF2-40B4-BE49-F238E27FC236}">
              <a16:creationId xmlns:a16="http://schemas.microsoft.com/office/drawing/2014/main" id="{041663A4-4D31-45B2-8248-1F450C379159}"/>
            </a:ext>
          </a:extLst>
        </xdr:cNvPr>
        <xdr:cNvSpPr txBox="1"/>
      </xdr:nvSpPr>
      <xdr:spPr>
        <a:xfrm>
          <a:off x="39856522" y="4410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23</xdr:row>
      <xdr:rowOff>0</xdr:rowOff>
    </xdr:from>
    <xdr:ext cx="2286000" cy="264560"/>
    <xdr:sp macro="" textlink="">
      <xdr:nvSpPr>
        <xdr:cNvPr id="12" name="Textfeld 11">
          <a:extLst>
            <a:ext uri="{FF2B5EF4-FFF2-40B4-BE49-F238E27FC236}">
              <a16:creationId xmlns:a16="http://schemas.microsoft.com/office/drawing/2014/main" id="{ABCF2B3E-1C0B-4E1A-9D18-A8F25495804F}"/>
            </a:ext>
          </a:extLst>
        </xdr:cNvPr>
        <xdr:cNvSpPr txBox="1"/>
      </xdr:nvSpPr>
      <xdr:spPr>
        <a:xfrm>
          <a:off x="39856522" y="4410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23</xdr:row>
      <xdr:rowOff>0</xdr:rowOff>
    </xdr:from>
    <xdr:ext cx="2286000" cy="264560"/>
    <xdr:sp macro="" textlink="">
      <xdr:nvSpPr>
        <xdr:cNvPr id="13" name="Textfeld 12">
          <a:extLst>
            <a:ext uri="{FF2B5EF4-FFF2-40B4-BE49-F238E27FC236}">
              <a16:creationId xmlns:a16="http://schemas.microsoft.com/office/drawing/2014/main" id="{80381891-6441-4A46-BD9E-233FA8D35DF3}"/>
            </a:ext>
          </a:extLst>
        </xdr:cNvPr>
        <xdr:cNvSpPr txBox="1"/>
      </xdr:nvSpPr>
      <xdr:spPr>
        <a:xfrm>
          <a:off x="39856522" y="4410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25</xdr:row>
      <xdr:rowOff>0</xdr:rowOff>
    </xdr:from>
    <xdr:ext cx="2286000" cy="264560"/>
    <xdr:sp macro="" textlink="">
      <xdr:nvSpPr>
        <xdr:cNvPr id="14" name="Textfeld 13">
          <a:extLst>
            <a:ext uri="{FF2B5EF4-FFF2-40B4-BE49-F238E27FC236}">
              <a16:creationId xmlns:a16="http://schemas.microsoft.com/office/drawing/2014/main" id="{AB6ED8A6-948E-4A73-8F6B-51A74F9F890F}"/>
            </a:ext>
          </a:extLst>
        </xdr:cNvPr>
        <xdr:cNvSpPr txBox="1"/>
      </xdr:nvSpPr>
      <xdr:spPr>
        <a:xfrm>
          <a:off x="39856522" y="479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25</xdr:row>
      <xdr:rowOff>0</xdr:rowOff>
    </xdr:from>
    <xdr:ext cx="2286000" cy="264560"/>
    <xdr:sp macro="" textlink="">
      <xdr:nvSpPr>
        <xdr:cNvPr id="15" name="Textfeld 14">
          <a:extLst>
            <a:ext uri="{FF2B5EF4-FFF2-40B4-BE49-F238E27FC236}">
              <a16:creationId xmlns:a16="http://schemas.microsoft.com/office/drawing/2014/main" id="{27018F99-E91F-4B07-9212-DCDAF585ECFD}"/>
            </a:ext>
          </a:extLst>
        </xdr:cNvPr>
        <xdr:cNvSpPr txBox="1"/>
      </xdr:nvSpPr>
      <xdr:spPr>
        <a:xfrm>
          <a:off x="39856522" y="479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25</xdr:row>
      <xdr:rowOff>0</xdr:rowOff>
    </xdr:from>
    <xdr:ext cx="2286000" cy="264560"/>
    <xdr:sp macro="" textlink="">
      <xdr:nvSpPr>
        <xdr:cNvPr id="16" name="Textfeld 15">
          <a:extLst>
            <a:ext uri="{FF2B5EF4-FFF2-40B4-BE49-F238E27FC236}">
              <a16:creationId xmlns:a16="http://schemas.microsoft.com/office/drawing/2014/main" id="{4737C9C6-F9FD-4DBD-A918-FB1EDFBA1E7B}"/>
            </a:ext>
          </a:extLst>
        </xdr:cNvPr>
        <xdr:cNvSpPr txBox="1"/>
      </xdr:nvSpPr>
      <xdr:spPr>
        <a:xfrm>
          <a:off x="39856522" y="479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25</xdr:row>
      <xdr:rowOff>0</xdr:rowOff>
    </xdr:from>
    <xdr:ext cx="2286000" cy="264560"/>
    <xdr:sp macro="" textlink="">
      <xdr:nvSpPr>
        <xdr:cNvPr id="17" name="Textfeld 16">
          <a:extLst>
            <a:ext uri="{FF2B5EF4-FFF2-40B4-BE49-F238E27FC236}">
              <a16:creationId xmlns:a16="http://schemas.microsoft.com/office/drawing/2014/main" id="{E1D7AB5B-E86F-497F-BADC-41C079948981}"/>
            </a:ext>
          </a:extLst>
        </xdr:cNvPr>
        <xdr:cNvSpPr txBox="1"/>
      </xdr:nvSpPr>
      <xdr:spPr>
        <a:xfrm>
          <a:off x="39856522" y="479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18" name="Textfeld 17">
          <a:extLst>
            <a:ext uri="{FF2B5EF4-FFF2-40B4-BE49-F238E27FC236}">
              <a16:creationId xmlns:a16="http://schemas.microsoft.com/office/drawing/2014/main" id="{A1261A19-4B46-4E97-A1BB-E05CA1909DF8}"/>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19" name="Textfeld 18">
          <a:extLst>
            <a:ext uri="{FF2B5EF4-FFF2-40B4-BE49-F238E27FC236}">
              <a16:creationId xmlns:a16="http://schemas.microsoft.com/office/drawing/2014/main" id="{039235FE-B4D5-48F5-B391-ABA100F6DDC3}"/>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20" name="Textfeld 19">
          <a:extLst>
            <a:ext uri="{FF2B5EF4-FFF2-40B4-BE49-F238E27FC236}">
              <a16:creationId xmlns:a16="http://schemas.microsoft.com/office/drawing/2014/main" id="{D88B6C7E-6334-4F23-BB20-205FF9FD322E}"/>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21" name="Textfeld 20">
          <a:extLst>
            <a:ext uri="{FF2B5EF4-FFF2-40B4-BE49-F238E27FC236}">
              <a16:creationId xmlns:a16="http://schemas.microsoft.com/office/drawing/2014/main" id="{1C8FB830-27D7-439E-869D-98C3B6EA7A8E}"/>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27</xdr:row>
      <xdr:rowOff>0</xdr:rowOff>
    </xdr:from>
    <xdr:ext cx="2286000" cy="264560"/>
    <xdr:sp macro="" textlink="">
      <xdr:nvSpPr>
        <xdr:cNvPr id="22" name="Textfeld 21">
          <a:extLst>
            <a:ext uri="{FF2B5EF4-FFF2-40B4-BE49-F238E27FC236}">
              <a16:creationId xmlns:a16="http://schemas.microsoft.com/office/drawing/2014/main" id="{DA622059-0CB2-4D7D-BE95-A3F9DBA69734}"/>
            </a:ext>
          </a:extLst>
        </xdr:cNvPr>
        <xdr:cNvSpPr txBox="1"/>
      </xdr:nvSpPr>
      <xdr:spPr>
        <a:xfrm>
          <a:off x="39856522" y="517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3" name="Textfeld 22">
          <a:extLst>
            <a:ext uri="{FF2B5EF4-FFF2-40B4-BE49-F238E27FC236}">
              <a16:creationId xmlns:a16="http://schemas.microsoft.com/office/drawing/2014/main" id="{D84FB30B-046D-4ADC-B056-D73163A4BF46}"/>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4" name="Textfeld 23">
          <a:extLst>
            <a:ext uri="{FF2B5EF4-FFF2-40B4-BE49-F238E27FC236}">
              <a16:creationId xmlns:a16="http://schemas.microsoft.com/office/drawing/2014/main" id="{0D74514F-F6EF-43E4-BBD3-536085DD1194}"/>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5" name="Textfeld 24">
          <a:extLst>
            <a:ext uri="{FF2B5EF4-FFF2-40B4-BE49-F238E27FC236}">
              <a16:creationId xmlns:a16="http://schemas.microsoft.com/office/drawing/2014/main" id="{D311868E-FD11-4403-8FDB-B0CA1CADCEAE}"/>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6" name="Textfeld 25">
          <a:extLst>
            <a:ext uri="{FF2B5EF4-FFF2-40B4-BE49-F238E27FC236}">
              <a16:creationId xmlns:a16="http://schemas.microsoft.com/office/drawing/2014/main" id="{C8B7BBEA-C327-47D7-A760-4C81012571F6}"/>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7" name="Textfeld 26">
          <a:extLst>
            <a:ext uri="{FF2B5EF4-FFF2-40B4-BE49-F238E27FC236}">
              <a16:creationId xmlns:a16="http://schemas.microsoft.com/office/drawing/2014/main" id="{010E87DE-61DF-4007-BD09-3593AF5FBFE5}"/>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29</xdr:row>
      <xdr:rowOff>0</xdr:rowOff>
    </xdr:from>
    <xdr:ext cx="2286000" cy="264560"/>
    <xdr:sp macro="" textlink="">
      <xdr:nvSpPr>
        <xdr:cNvPr id="28" name="Textfeld 27">
          <a:extLst>
            <a:ext uri="{FF2B5EF4-FFF2-40B4-BE49-F238E27FC236}">
              <a16:creationId xmlns:a16="http://schemas.microsoft.com/office/drawing/2014/main" id="{26807507-FCE7-476C-B49D-21D42B8B0446}"/>
            </a:ext>
          </a:extLst>
        </xdr:cNvPr>
        <xdr:cNvSpPr txBox="1"/>
      </xdr:nvSpPr>
      <xdr:spPr>
        <a:xfrm>
          <a:off x="39856522" y="555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31</xdr:row>
      <xdr:rowOff>0</xdr:rowOff>
    </xdr:from>
    <xdr:ext cx="2286000" cy="264560"/>
    <xdr:sp macro="" textlink="">
      <xdr:nvSpPr>
        <xdr:cNvPr id="29" name="Textfeld 28">
          <a:extLst>
            <a:ext uri="{FF2B5EF4-FFF2-40B4-BE49-F238E27FC236}">
              <a16:creationId xmlns:a16="http://schemas.microsoft.com/office/drawing/2014/main" id="{167E0353-FFBD-4C4D-AD22-A7950F9E59DA}"/>
            </a:ext>
          </a:extLst>
        </xdr:cNvPr>
        <xdr:cNvSpPr txBox="1"/>
      </xdr:nvSpPr>
      <xdr:spPr>
        <a:xfrm>
          <a:off x="39856522" y="593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0" name="Textfeld 29">
          <a:extLst>
            <a:ext uri="{FF2B5EF4-FFF2-40B4-BE49-F238E27FC236}">
              <a16:creationId xmlns:a16="http://schemas.microsoft.com/office/drawing/2014/main" id="{49D6B73B-FE15-4224-BD3D-69DB3219D160}"/>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1" name="Textfeld 30">
          <a:extLst>
            <a:ext uri="{FF2B5EF4-FFF2-40B4-BE49-F238E27FC236}">
              <a16:creationId xmlns:a16="http://schemas.microsoft.com/office/drawing/2014/main" id="{B2A77B7C-1575-4505-B829-2D56E4AA8763}"/>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2" name="Textfeld 31">
          <a:extLst>
            <a:ext uri="{FF2B5EF4-FFF2-40B4-BE49-F238E27FC236}">
              <a16:creationId xmlns:a16="http://schemas.microsoft.com/office/drawing/2014/main" id="{2E34D6DE-2A80-4661-B817-E7C0DE54918C}"/>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3" name="Textfeld 32">
          <a:extLst>
            <a:ext uri="{FF2B5EF4-FFF2-40B4-BE49-F238E27FC236}">
              <a16:creationId xmlns:a16="http://schemas.microsoft.com/office/drawing/2014/main" id="{505081FC-EBB4-46C2-B0DF-20368F32F721}"/>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4" name="Textfeld 33">
          <a:extLst>
            <a:ext uri="{FF2B5EF4-FFF2-40B4-BE49-F238E27FC236}">
              <a16:creationId xmlns:a16="http://schemas.microsoft.com/office/drawing/2014/main" id="{CFACD530-B4D0-4B11-986C-3D3CB5FF4197}"/>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5" name="Textfeld 34">
          <a:extLst>
            <a:ext uri="{FF2B5EF4-FFF2-40B4-BE49-F238E27FC236}">
              <a16:creationId xmlns:a16="http://schemas.microsoft.com/office/drawing/2014/main" id="{20155BF4-36B0-4EEE-A045-190CB5A24237}"/>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35</xdr:row>
      <xdr:rowOff>0</xdr:rowOff>
    </xdr:from>
    <xdr:ext cx="2286000" cy="264560"/>
    <xdr:sp macro="" textlink="">
      <xdr:nvSpPr>
        <xdr:cNvPr id="36" name="Textfeld 35">
          <a:extLst>
            <a:ext uri="{FF2B5EF4-FFF2-40B4-BE49-F238E27FC236}">
              <a16:creationId xmlns:a16="http://schemas.microsoft.com/office/drawing/2014/main" id="{D06C0CBC-09A3-45B4-90BA-3BFD9C68BE88}"/>
            </a:ext>
          </a:extLst>
        </xdr:cNvPr>
        <xdr:cNvSpPr txBox="1"/>
      </xdr:nvSpPr>
      <xdr:spPr>
        <a:xfrm>
          <a:off x="39856522" y="669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37" name="Textfeld 36">
          <a:extLst>
            <a:ext uri="{FF2B5EF4-FFF2-40B4-BE49-F238E27FC236}">
              <a16:creationId xmlns:a16="http://schemas.microsoft.com/office/drawing/2014/main" id="{C165C380-B870-40AE-ABA8-618537701E46}"/>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38" name="Textfeld 37">
          <a:extLst>
            <a:ext uri="{FF2B5EF4-FFF2-40B4-BE49-F238E27FC236}">
              <a16:creationId xmlns:a16="http://schemas.microsoft.com/office/drawing/2014/main" id="{0647B1FF-0D14-46EC-A636-19C77A1A8387}"/>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39" name="Textfeld 38">
          <a:extLst>
            <a:ext uri="{FF2B5EF4-FFF2-40B4-BE49-F238E27FC236}">
              <a16:creationId xmlns:a16="http://schemas.microsoft.com/office/drawing/2014/main" id="{54EDCACD-F7C1-4946-BB64-3257AE2C15BD}"/>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0" name="Textfeld 39">
          <a:extLst>
            <a:ext uri="{FF2B5EF4-FFF2-40B4-BE49-F238E27FC236}">
              <a16:creationId xmlns:a16="http://schemas.microsoft.com/office/drawing/2014/main" id="{B3F29227-64D5-4860-BCDE-9BF7D59991D8}"/>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1" name="Textfeld 40">
          <a:extLst>
            <a:ext uri="{FF2B5EF4-FFF2-40B4-BE49-F238E27FC236}">
              <a16:creationId xmlns:a16="http://schemas.microsoft.com/office/drawing/2014/main" id="{F4944737-2356-43EF-AE81-73DB4B7CC404}"/>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2" name="Textfeld 41">
          <a:extLst>
            <a:ext uri="{FF2B5EF4-FFF2-40B4-BE49-F238E27FC236}">
              <a16:creationId xmlns:a16="http://schemas.microsoft.com/office/drawing/2014/main" id="{23CF5DED-3832-4400-A4DA-EBF12B2B5989}"/>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3" name="Textfeld 42">
          <a:extLst>
            <a:ext uri="{FF2B5EF4-FFF2-40B4-BE49-F238E27FC236}">
              <a16:creationId xmlns:a16="http://schemas.microsoft.com/office/drawing/2014/main" id="{9404063D-D036-4795-A436-849C482B1FF1}"/>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37</xdr:row>
      <xdr:rowOff>0</xdr:rowOff>
    </xdr:from>
    <xdr:ext cx="2286000" cy="264560"/>
    <xdr:sp macro="" textlink="">
      <xdr:nvSpPr>
        <xdr:cNvPr id="44" name="Textfeld 43">
          <a:extLst>
            <a:ext uri="{FF2B5EF4-FFF2-40B4-BE49-F238E27FC236}">
              <a16:creationId xmlns:a16="http://schemas.microsoft.com/office/drawing/2014/main" id="{46DE27D7-6091-42F6-8A73-243AA447E507}"/>
            </a:ext>
          </a:extLst>
        </xdr:cNvPr>
        <xdr:cNvSpPr txBox="1"/>
      </xdr:nvSpPr>
      <xdr:spPr>
        <a:xfrm>
          <a:off x="39856522" y="7077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5" name="Textfeld 44">
          <a:extLst>
            <a:ext uri="{FF2B5EF4-FFF2-40B4-BE49-F238E27FC236}">
              <a16:creationId xmlns:a16="http://schemas.microsoft.com/office/drawing/2014/main" id="{7FAFE9D1-DC40-400B-ACD3-EABD5834CBA5}"/>
            </a:ext>
          </a:extLst>
        </xdr:cNvPr>
        <xdr:cNvSpPr txBox="1"/>
      </xdr:nvSpPr>
      <xdr:spPr>
        <a:xfrm>
          <a:off x="39856522"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6" name="Textfeld 45">
          <a:extLst>
            <a:ext uri="{FF2B5EF4-FFF2-40B4-BE49-F238E27FC236}">
              <a16:creationId xmlns:a16="http://schemas.microsoft.com/office/drawing/2014/main" id="{C051F15E-CA58-4BA1-9500-B78FEDCBBE7D}"/>
            </a:ext>
          </a:extLst>
        </xdr:cNvPr>
        <xdr:cNvSpPr txBox="1"/>
      </xdr:nvSpPr>
      <xdr:spPr>
        <a:xfrm>
          <a:off x="39856522"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7" name="Textfeld 46">
          <a:extLst>
            <a:ext uri="{FF2B5EF4-FFF2-40B4-BE49-F238E27FC236}">
              <a16:creationId xmlns:a16="http://schemas.microsoft.com/office/drawing/2014/main" id="{50E3C206-076A-41B3-B5E3-E0C8691675F9}"/>
            </a:ext>
          </a:extLst>
        </xdr:cNvPr>
        <xdr:cNvSpPr txBox="1"/>
      </xdr:nvSpPr>
      <xdr:spPr>
        <a:xfrm>
          <a:off x="39856522"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8" name="Textfeld 47">
          <a:extLst>
            <a:ext uri="{FF2B5EF4-FFF2-40B4-BE49-F238E27FC236}">
              <a16:creationId xmlns:a16="http://schemas.microsoft.com/office/drawing/2014/main" id="{9A006EC4-1C45-45B9-B12E-109285EE04A2}"/>
            </a:ext>
          </a:extLst>
        </xdr:cNvPr>
        <xdr:cNvSpPr txBox="1"/>
      </xdr:nvSpPr>
      <xdr:spPr>
        <a:xfrm>
          <a:off x="39856522"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49" name="Textfeld 48">
          <a:extLst>
            <a:ext uri="{FF2B5EF4-FFF2-40B4-BE49-F238E27FC236}">
              <a16:creationId xmlns:a16="http://schemas.microsoft.com/office/drawing/2014/main" id="{A113CD76-58C7-41DE-8AB7-D37838AF9A62}"/>
            </a:ext>
          </a:extLst>
        </xdr:cNvPr>
        <xdr:cNvSpPr txBox="1"/>
      </xdr:nvSpPr>
      <xdr:spPr>
        <a:xfrm>
          <a:off x="39856522"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50" name="Textfeld 49">
          <a:extLst>
            <a:ext uri="{FF2B5EF4-FFF2-40B4-BE49-F238E27FC236}">
              <a16:creationId xmlns:a16="http://schemas.microsoft.com/office/drawing/2014/main" id="{D5193E2D-2B70-4588-80FE-A30347831F74}"/>
            </a:ext>
          </a:extLst>
        </xdr:cNvPr>
        <xdr:cNvSpPr txBox="1"/>
      </xdr:nvSpPr>
      <xdr:spPr>
        <a:xfrm>
          <a:off x="39856522"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51" name="Textfeld 50">
          <a:extLst>
            <a:ext uri="{FF2B5EF4-FFF2-40B4-BE49-F238E27FC236}">
              <a16:creationId xmlns:a16="http://schemas.microsoft.com/office/drawing/2014/main" id="{C8F21853-8BBD-4027-B4CF-4E95E875550A}"/>
            </a:ext>
          </a:extLst>
        </xdr:cNvPr>
        <xdr:cNvSpPr txBox="1"/>
      </xdr:nvSpPr>
      <xdr:spPr>
        <a:xfrm>
          <a:off x="39856522"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39</xdr:row>
      <xdr:rowOff>0</xdr:rowOff>
    </xdr:from>
    <xdr:ext cx="2286000" cy="264560"/>
    <xdr:sp macro="" textlink="">
      <xdr:nvSpPr>
        <xdr:cNvPr id="52" name="Textfeld 51">
          <a:extLst>
            <a:ext uri="{FF2B5EF4-FFF2-40B4-BE49-F238E27FC236}">
              <a16:creationId xmlns:a16="http://schemas.microsoft.com/office/drawing/2014/main" id="{54A7838B-5B00-49D1-A6AD-B22C559A7B21}"/>
            </a:ext>
          </a:extLst>
        </xdr:cNvPr>
        <xdr:cNvSpPr txBox="1"/>
      </xdr:nvSpPr>
      <xdr:spPr>
        <a:xfrm>
          <a:off x="39856522" y="7458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3" name="Textfeld 52">
          <a:extLst>
            <a:ext uri="{FF2B5EF4-FFF2-40B4-BE49-F238E27FC236}">
              <a16:creationId xmlns:a16="http://schemas.microsoft.com/office/drawing/2014/main" id="{E245E130-30CA-4F3C-BABF-09612950B9D2}"/>
            </a:ext>
          </a:extLst>
        </xdr:cNvPr>
        <xdr:cNvSpPr txBox="1"/>
      </xdr:nvSpPr>
      <xdr:spPr>
        <a:xfrm>
          <a:off x="39856522" y="7839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4" name="Textfeld 53">
          <a:extLst>
            <a:ext uri="{FF2B5EF4-FFF2-40B4-BE49-F238E27FC236}">
              <a16:creationId xmlns:a16="http://schemas.microsoft.com/office/drawing/2014/main" id="{15DCCC4D-1921-45E5-A1A0-04979836A4B4}"/>
            </a:ext>
          </a:extLst>
        </xdr:cNvPr>
        <xdr:cNvSpPr txBox="1"/>
      </xdr:nvSpPr>
      <xdr:spPr>
        <a:xfrm>
          <a:off x="39856522" y="7839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5" name="Textfeld 54">
          <a:extLst>
            <a:ext uri="{FF2B5EF4-FFF2-40B4-BE49-F238E27FC236}">
              <a16:creationId xmlns:a16="http://schemas.microsoft.com/office/drawing/2014/main" id="{BA09C202-B2C6-4ABD-A77C-9262E0856926}"/>
            </a:ext>
          </a:extLst>
        </xdr:cNvPr>
        <xdr:cNvSpPr txBox="1"/>
      </xdr:nvSpPr>
      <xdr:spPr>
        <a:xfrm>
          <a:off x="39856522" y="7839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6" name="Textfeld 55">
          <a:extLst>
            <a:ext uri="{FF2B5EF4-FFF2-40B4-BE49-F238E27FC236}">
              <a16:creationId xmlns:a16="http://schemas.microsoft.com/office/drawing/2014/main" id="{3FA6F3E0-D38D-4431-A68B-905398828398}"/>
            </a:ext>
          </a:extLst>
        </xdr:cNvPr>
        <xdr:cNvSpPr txBox="1"/>
      </xdr:nvSpPr>
      <xdr:spPr>
        <a:xfrm>
          <a:off x="39856522" y="7839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7" name="Textfeld 56">
          <a:extLst>
            <a:ext uri="{FF2B5EF4-FFF2-40B4-BE49-F238E27FC236}">
              <a16:creationId xmlns:a16="http://schemas.microsoft.com/office/drawing/2014/main" id="{316D0F72-194F-4E7A-9D4A-D5B58E866D72}"/>
            </a:ext>
          </a:extLst>
        </xdr:cNvPr>
        <xdr:cNvSpPr txBox="1"/>
      </xdr:nvSpPr>
      <xdr:spPr>
        <a:xfrm>
          <a:off x="39856522" y="7839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8" name="Textfeld 57">
          <a:extLst>
            <a:ext uri="{FF2B5EF4-FFF2-40B4-BE49-F238E27FC236}">
              <a16:creationId xmlns:a16="http://schemas.microsoft.com/office/drawing/2014/main" id="{46061736-4E72-43F4-BB4B-F99BA67DA5C1}"/>
            </a:ext>
          </a:extLst>
        </xdr:cNvPr>
        <xdr:cNvSpPr txBox="1"/>
      </xdr:nvSpPr>
      <xdr:spPr>
        <a:xfrm>
          <a:off x="39856522" y="7839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59" name="Textfeld 58">
          <a:extLst>
            <a:ext uri="{FF2B5EF4-FFF2-40B4-BE49-F238E27FC236}">
              <a16:creationId xmlns:a16="http://schemas.microsoft.com/office/drawing/2014/main" id="{FF4CE66B-E4D8-410B-BCC7-E89513ADC75D}"/>
            </a:ext>
          </a:extLst>
        </xdr:cNvPr>
        <xdr:cNvSpPr txBox="1"/>
      </xdr:nvSpPr>
      <xdr:spPr>
        <a:xfrm>
          <a:off x="39856522" y="7839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41</xdr:row>
      <xdr:rowOff>0</xdr:rowOff>
    </xdr:from>
    <xdr:ext cx="2286000" cy="264560"/>
    <xdr:sp macro="" textlink="">
      <xdr:nvSpPr>
        <xdr:cNvPr id="60" name="Textfeld 59">
          <a:extLst>
            <a:ext uri="{FF2B5EF4-FFF2-40B4-BE49-F238E27FC236}">
              <a16:creationId xmlns:a16="http://schemas.microsoft.com/office/drawing/2014/main" id="{FF48326C-7E17-46D3-898D-2D8C32A9A264}"/>
            </a:ext>
          </a:extLst>
        </xdr:cNvPr>
        <xdr:cNvSpPr txBox="1"/>
      </xdr:nvSpPr>
      <xdr:spPr>
        <a:xfrm>
          <a:off x="39856522" y="7839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6.xml><?xml version="1.0" encoding="utf-8"?>
<xdr:wsDr xmlns:xdr="http://schemas.openxmlformats.org/drawingml/2006/spreadsheetDrawing" xmlns:a="http://schemas.openxmlformats.org/drawingml/2006/main">
  <xdr:oneCellAnchor>
    <xdr:from>
      <xdr:col>34</xdr:col>
      <xdr:colOff>699247</xdr:colOff>
      <xdr:row>11</xdr:row>
      <xdr:rowOff>0</xdr:rowOff>
    </xdr:from>
    <xdr:ext cx="2286000" cy="264560"/>
    <xdr:sp macro="" textlink="">
      <xdr:nvSpPr>
        <xdr:cNvPr id="2" name="Textfeld 1">
          <a:extLst>
            <a:ext uri="{FF2B5EF4-FFF2-40B4-BE49-F238E27FC236}">
              <a16:creationId xmlns:a16="http://schemas.microsoft.com/office/drawing/2014/main" id="{00000000-0008-0000-1B00-000002000000}"/>
            </a:ext>
          </a:extLst>
        </xdr:cNvPr>
        <xdr:cNvSpPr txBox="1"/>
      </xdr:nvSpPr>
      <xdr:spPr>
        <a:xfrm>
          <a:off x="39856522" y="1552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3" name="Textfeld 2">
          <a:extLst>
            <a:ext uri="{FF2B5EF4-FFF2-40B4-BE49-F238E27FC236}">
              <a16:creationId xmlns:a16="http://schemas.microsoft.com/office/drawing/2014/main" id="{00000000-0008-0000-1B00-000003000000}"/>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7.xml><?xml version="1.0" encoding="utf-8"?>
<xdr:wsDr xmlns:xdr="http://schemas.openxmlformats.org/drawingml/2006/spreadsheetDrawing" xmlns:a="http://schemas.openxmlformats.org/drawingml/2006/main">
  <xdr:oneCellAnchor>
    <xdr:from>
      <xdr:col>34</xdr:col>
      <xdr:colOff>699247</xdr:colOff>
      <xdr:row>9</xdr:row>
      <xdr:rowOff>0</xdr:rowOff>
    </xdr:from>
    <xdr:ext cx="2286000" cy="264560"/>
    <xdr:sp macro="" textlink="">
      <xdr:nvSpPr>
        <xdr:cNvPr id="2" name="Textfeld 1">
          <a:extLst>
            <a:ext uri="{FF2B5EF4-FFF2-40B4-BE49-F238E27FC236}">
              <a16:creationId xmlns:a16="http://schemas.microsoft.com/office/drawing/2014/main" id="{00000000-0008-0000-1C00-000002000000}"/>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00000000-0008-0000-1C00-000003000000}"/>
            </a:ext>
          </a:extLst>
        </xdr:cNvPr>
        <xdr:cNvSpPr txBox="1"/>
      </xdr:nvSpPr>
      <xdr:spPr>
        <a:xfrm>
          <a:off x="39856522"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4" name="Textfeld 3">
          <a:extLst>
            <a:ext uri="{FF2B5EF4-FFF2-40B4-BE49-F238E27FC236}">
              <a16:creationId xmlns:a16="http://schemas.microsoft.com/office/drawing/2014/main" id="{1F8EEB1E-9C77-438D-9C39-3A61E4C26B0D}"/>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5" name="Textfeld 4">
          <a:extLst>
            <a:ext uri="{FF2B5EF4-FFF2-40B4-BE49-F238E27FC236}">
              <a16:creationId xmlns:a16="http://schemas.microsoft.com/office/drawing/2014/main" id="{43B83FF7-59CF-4A6B-8BCD-74D0F9221A3E}"/>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14</xdr:row>
      <xdr:rowOff>0</xdr:rowOff>
    </xdr:from>
    <xdr:ext cx="2286000" cy="264560"/>
    <xdr:sp macro="" textlink="">
      <xdr:nvSpPr>
        <xdr:cNvPr id="6" name="Textfeld 5">
          <a:extLst>
            <a:ext uri="{FF2B5EF4-FFF2-40B4-BE49-F238E27FC236}">
              <a16:creationId xmlns:a16="http://schemas.microsoft.com/office/drawing/2014/main" id="{B3A7B669-3B80-4B1D-B8F5-2C9B29237A8C}"/>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7" name="Textfeld 6">
          <a:extLst>
            <a:ext uri="{FF2B5EF4-FFF2-40B4-BE49-F238E27FC236}">
              <a16:creationId xmlns:a16="http://schemas.microsoft.com/office/drawing/2014/main" id="{2055C601-6997-4BBA-A925-937A3DC04FD9}"/>
            </a:ext>
          </a:extLst>
        </xdr:cNvPr>
        <xdr:cNvSpPr txBox="1"/>
      </xdr:nvSpPr>
      <xdr:spPr>
        <a:xfrm>
          <a:off x="39856522"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16</xdr:row>
      <xdr:rowOff>0</xdr:rowOff>
    </xdr:from>
    <xdr:ext cx="2286000" cy="264560"/>
    <xdr:sp macro="" textlink="">
      <xdr:nvSpPr>
        <xdr:cNvPr id="8" name="Textfeld 7">
          <a:extLst>
            <a:ext uri="{FF2B5EF4-FFF2-40B4-BE49-F238E27FC236}">
              <a16:creationId xmlns:a16="http://schemas.microsoft.com/office/drawing/2014/main" id="{48B23BF5-D53F-4A0C-8A0C-906F7F0FEA50}"/>
            </a:ext>
          </a:extLst>
        </xdr:cNvPr>
        <xdr:cNvSpPr txBox="1"/>
      </xdr:nvSpPr>
      <xdr:spPr>
        <a:xfrm>
          <a:off x="39856522" y="2695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9" name="Textfeld 8">
          <a:extLst>
            <a:ext uri="{FF2B5EF4-FFF2-40B4-BE49-F238E27FC236}">
              <a16:creationId xmlns:a16="http://schemas.microsoft.com/office/drawing/2014/main" id="{F428F266-BF70-4577-A34C-BCD02B03D391}"/>
            </a:ext>
          </a:extLst>
        </xdr:cNvPr>
        <xdr:cNvSpPr txBox="1"/>
      </xdr:nvSpPr>
      <xdr:spPr>
        <a:xfrm>
          <a:off x="39856522" y="3076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8.xml><?xml version="1.0" encoding="utf-8"?>
<xdr:wsDr xmlns:xdr="http://schemas.openxmlformats.org/drawingml/2006/spreadsheetDrawing" xmlns:a="http://schemas.openxmlformats.org/drawingml/2006/main">
  <xdr:oneCellAnchor>
    <xdr:from>
      <xdr:col>34</xdr:col>
      <xdr:colOff>699247</xdr:colOff>
      <xdr:row>9</xdr:row>
      <xdr:rowOff>0</xdr:rowOff>
    </xdr:from>
    <xdr:ext cx="2286000" cy="264560"/>
    <xdr:sp macro="" textlink="">
      <xdr:nvSpPr>
        <xdr:cNvPr id="2" name="Textfeld 1">
          <a:extLst>
            <a:ext uri="{FF2B5EF4-FFF2-40B4-BE49-F238E27FC236}">
              <a16:creationId xmlns:a16="http://schemas.microsoft.com/office/drawing/2014/main" id="{BD9FB273-885D-41CF-B5D1-2E6EC618A69F}"/>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BA3FDEE8-6C8E-4A2E-87F8-E14217EA812C}"/>
            </a:ext>
          </a:extLst>
        </xdr:cNvPr>
        <xdr:cNvSpPr txBox="1"/>
      </xdr:nvSpPr>
      <xdr:spPr>
        <a:xfrm>
          <a:off x="39856522"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4" name="Textfeld 3">
          <a:extLst>
            <a:ext uri="{FF2B5EF4-FFF2-40B4-BE49-F238E27FC236}">
              <a16:creationId xmlns:a16="http://schemas.microsoft.com/office/drawing/2014/main" id="{0D8FA028-C2A8-4361-8A78-5015F716AEE9}"/>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5" name="Textfeld 4">
          <a:extLst>
            <a:ext uri="{FF2B5EF4-FFF2-40B4-BE49-F238E27FC236}">
              <a16:creationId xmlns:a16="http://schemas.microsoft.com/office/drawing/2014/main" id="{071B8F43-182D-4D30-9F6C-62280B69D2E3}"/>
            </a:ext>
          </a:extLst>
        </xdr:cNvPr>
        <xdr:cNvSpPr txBox="1"/>
      </xdr:nvSpPr>
      <xdr:spPr>
        <a:xfrm>
          <a:off x="39856522"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14</xdr:row>
      <xdr:rowOff>0</xdr:rowOff>
    </xdr:from>
    <xdr:ext cx="2286000" cy="264560"/>
    <xdr:sp macro="" textlink="">
      <xdr:nvSpPr>
        <xdr:cNvPr id="6" name="Textfeld 5">
          <a:extLst>
            <a:ext uri="{FF2B5EF4-FFF2-40B4-BE49-F238E27FC236}">
              <a16:creationId xmlns:a16="http://schemas.microsoft.com/office/drawing/2014/main" id="{43A346E2-5608-49DA-B242-87C5E1BE6FC4}"/>
            </a:ext>
          </a:extLst>
        </xdr:cNvPr>
        <xdr:cNvSpPr txBox="1"/>
      </xdr:nvSpPr>
      <xdr:spPr>
        <a:xfrm>
          <a:off x="39856522" y="2695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7" name="Textfeld 6">
          <a:extLst>
            <a:ext uri="{FF2B5EF4-FFF2-40B4-BE49-F238E27FC236}">
              <a16:creationId xmlns:a16="http://schemas.microsoft.com/office/drawing/2014/main" id="{4AD81326-A0B1-4BF4-88FB-9BBF253C13E1}"/>
            </a:ext>
          </a:extLst>
        </xdr:cNvPr>
        <xdr:cNvSpPr txBox="1"/>
      </xdr:nvSpPr>
      <xdr:spPr>
        <a:xfrm>
          <a:off x="39856522"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16</xdr:row>
      <xdr:rowOff>0</xdr:rowOff>
    </xdr:from>
    <xdr:ext cx="2286000" cy="264560"/>
    <xdr:sp macro="" textlink="">
      <xdr:nvSpPr>
        <xdr:cNvPr id="8" name="Textfeld 7">
          <a:extLst>
            <a:ext uri="{FF2B5EF4-FFF2-40B4-BE49-F238E27FC236}">
              <a16:creationId xmlns:a16="http://schemas.microsoft.com/office/drawing/2014/main" id="{04C545AA-4A58-4544-A4CE-A0DD10C5EDE4}"/>
            </a:ext>
          </a:extLst>
        </xdr:cNvPr>
        <xdr:cNvSpPr txBox="1"/>
      </xdr:nvSpPr>
      <xdr:spPr>
        <a:xfrm>
          <a:off x="39856522" y="3076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9" name="Textfeld 8">
          <a:extLst>
            <a:ext uri="{FF2B5EF4-FFF2-40B4-BE49-F238E27FC236}">
              <a16:creationId xmlns:a16="http://schemas.microsoft.com/office/drawing/2014/main" id="{5EDDBD4A-C161-4631-9DBD-FE4E8BDCC6F6}"/>
            </a:ext>
          </a:extLst>
        </xdr:cNvPr>
        <xdr:cNvSpPr txBox="1"/>
      </xdr:nvSpPr>
      <xdr:spPr>
        <a:xfrm>
          <a:off x="39856522" y="345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29.xml><?xml version="1.0" encoding="utf-8"?>
<xdr:wsDr xmlns:xdr="http://schemas.openxmlformats.org/drawingml/2006/spreadsheetDrawing" xmlns:a="http://schemas.openxmlformats.org/drawingml/2006/main">
  <xdr:oneCellAnchor>
    <xdr:from>
      <xdr:col>34</xdr:col>
      <xdr:colOff>699247</xdr:colOff>
      <xdr:row>9</xdr:row>
      <xdr:rowOff>0</xdr:rowOff>
    </xdr:from>
    <xdr:ext cx="2286000" cy="264560"/>
    <xdr:sp macro="" textlink="">
      <xdr:nvSpPr>
        <xdr:cNvPr id="2" name="Textfeld 1">
          <a:extLst>
            <a:ext uri="{FF2B5EF4-FFF2-40B4-BE49-F238E27FC236}">
              <a16:creationId xmlns:a16="http://schemas.microsoft.com/office/drawing/2014/main" id="{D370E8FF-BFE3-402E-9229-E1476D37E74B}"/>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3" name="Textfeld 2">
          <a:extLst>
            <a:ext uri="{FF2B5EF4-FFF2-40B4-BE49-F238E27FC236}">
              <a16:creationId xmlns:a16="http://schemas.microsoft.com/office/drawing/2014/main" id="{C1E9E4DA-3874-43BD-B9A6-CDFF2A395C6F}"/>
            </a:ext>
          </a:extLst>
        </xdr:cNvPr>
        <xdr:cNvSpPr txBox="1"/>
      </xdr:nvSpPr>
      <xdr:spPr>
        <a:xfrm>
          <a:off x="39856522" y="2124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4" name="Textfeld 3">
          <a:extLst>
            <a:ext uri="{FF2B5EF4-FFF2-40B4-BE49-F238E27FC236}">
              <a16:creationId xmlns:a16="http://schemas.microsoft.com/office/drawing/2014/main" id="{DC139139-0E01-4E16-B919-71913F3D1A69}"/>
            </a:ext>
          </a:extLst>
        </xdr:cNvPr>
        <xdr:cNvSpPr txBox="1"/>
      </xdr:nvSpPr>
      <xdr:spPr>
        <a:xfrm>
          <a:off x="39856522"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13</xdr:row>
      <xdr:rowOff>0</xdr:rowOff>
    </xdr:from>
    <xdr:ext cx="2286000" cy="264560"/>
    <xdr:sp macro="" textlink="">
      <xdr:nvSpPr>
        <xdr:cNvPr id="5" name="Textfeld 4">
          <a:extLst>
            <a:ext uri="{FF2B5EF4-FFF2-40B4-BE49-F238E27FC236}">
              <a16:creationId xmlns:a16="http://schemas.microsoft.com/office/drawing/2014/main" id="{A54907E2-2559-4EC5-A85C-C1237F4D1FA3}"/>
            </a:ext>
          </a:extLst>
        </xdr:cNvPr>
        <xdr:cNvSpPr txBox="1"/>
      </xdr:nvSpPr>
      <xdr:spPr>
        <a:xfrm>
          <a:off x="39856522" y="2505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14</xdr:row>
      <xdr:rowOff>0</xdr:rowOff>
    </xdr:from>
    <xdr:ext cx="2286000" cy="264560"/>
    <xdr:sp macro="" textlink="">
      <xdr:nvSpPr>
        <xdr:cNvPr id="6" name="Textfeld 5">
          <a:extLst>
            <a:ext uri="{FF2B5EF4-FFF2-40B4-BE49-F238E27FC236}">
              <a16:creationId xmlns:a16="http://schemas.microsoft.com/office/drawing/2014/main" id="{DA49491F-8307-4B51-8627-0D6115A7EAC8}"/>
            </a:ext>
          </a:extLst>
        </xdr:cNvPr>
        <xdr:cNvSpPr txBox="1"/>
      </xdr:nvSpPr>
      <xdr:spPr>
        <a:xfrm>
          <a:off x="39856522" y="2695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15</xdr:row>
      <xdr:rowOff>0</xdr:rowOff>
    </xdr:from>
    <xdr:ext cx="2286000" cy="264560"/>
    <xdr:sp macro="" textlink="">
      <xdr:nvSpPr>
        <xdr:cNvPr id="7" name="Textfeld 6">
          <a:extLst>
            <a:ext uri="{FF2B5EF4-FFF2-40B4-BE49-F238E27FC236}">
              <a16:creationId xmlns:a16="http://schemas.microsoft.com/office/drawing/2014/main" id="{2F53D17B-4A8E-4D7C-AF89-4742C66E18A9}"/>
            </a:ext>
          </a:extLst>
        </xdr:cNvPr>
        <xdr:cNvSpPr txBox="1"/>
      </xdr:nvSpPr>
      <xdr:spPr>
        <a:xfrm>
          <a:off x="39856522" y="2886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16</xdr:row>
      <xdr:rowOff>0</xdr:rowOff>
    </xdr:from>
    <xdr:ext cx="2286000" cy="264560"/>
    <xdr:sp macro="" textlink="">
      <xdr:nvSpPr>
        <xdr:cNvPr id="8" name="Textfeld 7">
          <a:extLst>
            <a:ext uri="{FF2B5EF4-FFF2-40B4-BE49-F238E27FC236}">
              <a16:creationId xmlns:a16="http://schemas.microsoft.com/office/drawing/2014/main" id="{737A44D6-16BF-4093-84EE-5954BB67D1F7}"/>
            </a:ext>
          </a:extLst>
        </xdr:cNvPr>
        <xdr:cNvSpPr txBox="1"/>
      </xdr:nvSpPr>
      <xdr:spPr>
        <a:xfrm>
          <a:off x="39856522" y="3076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18</xdr:row>
      <xdr:rowOff>0</xdr:rowOff>
    </xdr:from>
    <xdr:ext cx="2286000" cy="264560"/>
    <xdr:sp macro="" textlink="">
      <xdr:nvSpPr>
        <xdr:cNvPr id="9" name="Textfeld 8">
          <a:extLst>
            <a:ext uri="{FF2B5EF4-FFF2-40B4-BE49-F238E27FC236}">
              <a16:creationId xmlns:a16="http://schemas.microsoft.com/office/drawing/2014/main" id="{2D349CD7-FC54-4B7F-82C9-C6720AA73A85}"/>
            </a:ext>
          </a:extLst>
        </xdr:cNvPr>
        <xdr:cNvSpPr txBox="1"/>
      </xdr:nvSpPr>
      <xdr:spPr>
        <a:xfrm>
          <a:off x="39856522" y="345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3.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4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4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4.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5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5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34</xdr:col>
      <xdr:colOff>699247</xdr:colOff>
      <xdr:row>5</xdr:row>
      <xdr:rowOff>0</xdr:rowOff>
    </xdr:from>
    <xdr:ext cx="2286000" cy="264560"/>
    <xdr:sp macro="" textlink="">
      <xdr:nvSpPr>
        <xdr:cNvPr id="2" name="Textfeld 1">
          <a:extLst>
            <a:ext uri="{FF2B5EF4-FFF2-40B4-BE49-F238E27FC236}">
              <a16:creationId xmlns:a16="http://schemas.microsoft.com/office/drawing/2014/main" id="{00000000-0008-0000-06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7</xdr:row>
      <xdr:rowOff>0</xdr:rowOff>
    </xdr:from>
    <xdr:ext cx="2286000" cy="264560"/>
    <xdr:sp macro="" textlink="">
      <xdr:nvSpPr>
        <xdr:cNvPr id="3" name="Textfeld 2">
          <a:extLst>
            <a:ext uri="{FF2B5EF4-FFF2-40B4-BE49-F238E27FC236}">
              <a16:creationId xmlns:a16="http://schemas.microsoft.com/office/drawing/2014/main" id="{00000000-0008-0000-06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6.xml><?xml version="1.0" encoding="utf-8"?>
<xdr:wsDr xmlns:xdr="http://schemas.openxmlformats.org/drawingml/2006/spreadsheetDrawing" xmlns:a="http://schemas.openxmlformats.org/drawingml/2006/main">
  <xdr:oneCellAnchor>
    <xdr:from>
      <xdr:col>34</xdr:col>
      <xdr:colOff>699247</xdr:colOff>
      <xdr:row>36</xdr:row>
      <xdr:rowOff>0</xdr:rowOff>
    </xdr:from>
    <xdr:ext cx="2286000" cy="264560"/>
    <xdr:sp macro="" textlink="">
      <xdr:nvSpPr>
        <xdr:cNvPr id="2" name="Textfeld 1">
          <a:extLst>
            <a:ext uri="{FF2B5EF4-FFF2-40B4-BE49-F238E27FC236}">
              <a16:creationId xmlns:a16="http://schemas.microsoft.com/office/drawing/2014/main" id="{00000000-0008-0000-07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36</xdr:row>
      <xdr:rowOff>0</xdr:rowOff>
    </xdr:from>
    <xdr:ext cx="2286000" cy="264560"/>
    <xdr:sp macro="" textlink="">
      <xdr:nvSpPr>
        <xdr:cNvPr id="3" name="Textfeld 2">
          <a:extLst>
            <a:ext uri="{FF2B5EF4-FFF2-40B4-BE49-F238E27FC236}">
              <a16:creationId xmlns:a16="http://schemas.microsoft.com/office/drawing/2014/main" id="{00000000-0008-0000-07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26</xdr:row>
      <xdr:rowOff>0</xdr:rowOff>
    </xdr:from>
    <xdr:ext cx="2286000" cy="264560"/>
    <xdr:sp macro="" textlink="">
      <xdr:nvSpPr>
        <xdr:cNvPr id="4" name="Textfeld 3">
          <a:extLst>
            <a:ext uri="{FF2B5EF4-FFF2-40B4-BE49-F238E27FC236}">
              <a16:creationId xmlns:a16="http://schemas.microsoft.com/office/drawing/2014/main" id="{55290326-545D-466E-8689-DECD47647FB1}"/>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31</xdr:row>
      <xdr:rowOff>0</xdr:rowOff>
    </xdr:from>
    <xdr:ext cx="2286000" cy="264560"/>
    <xdr:sp macro="" textlink="">
      <xdr:nvSpPr>
        <xdr:cNvPr id="5" name="Textfeld 4">
          <a:extLst>
            <a:ext uri="{FF2B5EF4-FFF2-40B4-BE49-F238E27FC236}">
              <a16:creationId xmlns:a16="http://schemas.microsoft.com/office/drawing/2014/main" id="{B26C99A3-195D-4662-8714-03E19845E25D}"/>
            </a:ext>
          </a:extLst>
        </xdr:cNvPr>
        <xdr:cNvSpPr txBox="1"/>
      </xdr:nvSpPr>
      <xdr:spPr>
        <a:xfrm>
          <a:off x="40075597" y="7267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7.xml><?xml version="1.0" encoding="utf-8"?>
<xdr:wsDr xmlns:xdr="http://schemas.openxmlformats.org/drawingml/2006/spreadsheetDrawing" xmlns:a="http://schemas.openxmlformats.org/drawingml/2006/main">
  <xdr:oneCellAnchor>
    <xdr:from>
      <xdr:col>34</xdr:col>
      <xdr:colOff>699247</xdr:colOff>
      <xdr:row>7</xdr:row>
      <xdr:rowOff>0</xdr:rowOff>
    </xdr:from>
    <xdr:ext cx="2286000" cy="264560"/>
    <xdr:sp macro="" textlink="">
      <xdr:nvSpPr>
        <xdr:cNvPr id="2" name="Textfeld 1">
          <a:extLst>
            <a:ext uri="{FF2B5EF4-FFF2-40B4-BE49-F238E27FC236}">
              <a16:creationId xmlns:a16="http://schemas.microsoft.com/office/drawing/2014/main" id="{00000000-0008-0000-0800-000002000000}"/>
            </a:ext>
          </a:extLst>
        </xdr:cNvPr>
        <xdr:cNvSpPr txBox="1"/>
      </xdr:nvSpPr>
      <xdr:spPr>
        <a:xfrm>
          <a:off x="37275247" y="1171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0800-000003000000}"/>
            </a:ext>
          </a:extLst>
        </xdr:cNvPr>
        <xdr:cNvSpPr txBox="1"/>
      </xdr:nvSpPr>
      <xdr:spPr>
        <a:xfrm>
          <a:off x="40085122" y="988219"/>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8.xml><?xml version="1.0" encoding="utf-8"?>
<xdr:wsDr xmlns:xdr="http://schemas.openxmlformats.org/drawingml/2006/spreadsheetDrawing" xmlns:a="http://schemas.openxmlformats.org/drawingml/2006/main">
  <xdr:oneCellAnchor>
    <xdr:from>
      <xdr:col>34</xdr:col>
      <xdr:colOff>699247</xdr:colOff>
      <xdr:row>7</xdr:row>
      <xdr:rowOff>0</xdr:rowOff>
    </xdr:from>
    <xdr:ext cx="2286000" cy="264560"/>
    <xdr:sp macro="" textlink="">
      <xdr:nvSpPr>
        <xdr:cNvPr id="2" name="Textfeld 1">
          <a:extLst>
            <a:ext uri="{FF2B5EF4-FFF2-40B4-BE49-F238E27FC236}">
              <a16:creationId xmlns:a16="http://schemas.microsoft.com/office/drawing/2014/main" id="{050D4F2B-582B-4C66-88E1-857D342BE572}"/>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4111C849-FA12-44EB-AECA-FDA43361AD44}"/>
            </a:ext>
          </a:extLst>
        </xdr:cNvPr>
        <xdr:cNvSpPr txBox="1"/>
      </xdr:nvSpPr>
      <xdr:spPr>
        <a:xfrm>
          <a:off x="40075597" y="19335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drawings/drawing9.xml><?xml version="1.0" encoding="utf-8"?>
<xdr:wsDr xmlns:xdr="http://schemas.openxmlformats.org/drawingml/2006/spreadsheetDrawing" xmlns:a="http://schemas.openxmlformats.org/drawingml/2006/main">
  <xdr:oneCellAnchor>
    <xdr:from>
      <xdr:col>34</xdr:col>
      <xdr:colOff>699247</xdr:colOff>
      <xdr:row>7</xdr:row>
      <xdr:rowOff>0</xdr:rowOff>
    </xdr:from>
    <xdr:ext cx="2286000" cy="264560"/>
    <xdr:sp macro="" textlink="">
      <xdr:nvSpPr>
        <xdr:cNvPr id="2" name="Textfeld 1">
          <a:extLst>
            <a:ext uri="{FF2B5EF4-FFF2-40B4-BE49-F238E27FC236}">
              <a16:creationId xmlns:a16="http://schemas.microsoft.com/office/drawing/2014/main" id="{00000000-0008-0000-0A00-000002000000}"/>
            </a:ext>
          </a:extLst>
        </xdr:cNvPr>
        <xdr:cNvSpPr txBox="1"/>
      </xdr:nvSpPr>
      <xdr:spPr>
        <a:xfrm>
          <a:off x="40075597" y="981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10</xdr:row>
      <xdr:rowOff>0</xdr:rowOff>
    </xdr:from>
    <xdr:ext cx="2286000" cy="264560"/>
    <xdr:sp macro="" textlink="">
      <xdr:nvSpPr>
        <xdr:cNvPr id="3" name="Textfeld 2">
          <a:extLst>
            <a:ext uri="{FF2B5EF4-FFF2-40B4-BE49-F238E27FC236}">
              <a16:creationId xmlns:a16="http://schemas.microsoft.com/office/drawing/2014/main" id="{00000000-0008-0000-0A00-000003000000}"/>
            </a:ext>
          </a:extLst>
        </xdr:cNvPr>
        <xdr:cNvSpPr txBox="1"/>
      </xdr:nvSpPr>
      <xdr:spPr>
        <a:xfrm>
          <a:off x="40075597"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9</xdr:row>
      <xdr:rowOff>0</xdr:rowOff>
    </xdr:from>
    <xdr:ext cx="2286000" cy="264560"/>
    <xdr:sp macro="" textlink="">
      <xdr:nvSpPr>
        <xdr:cNvPr id="4" name="Textfeld 3">
          <a:extLst>
            <a:ext uri="{FF2B5EF4-FFF2-40B4-BE49-F238E27FC236}">
              <a16:creationId xmlns:a16="http://schemas.microsoft.com/office/drawing/2014/main" id="{2E9B3887-37D3-4D52-B2A6-8CA30D0A994F}"/>
            </a:ext>
          </a:extLst>
        </xdr:cNvPr>
        <xdr:cNvSpPr txBox="1"/>
      </xdr:nvSpPr>
      <xdr:spPr>
        <a:xfrm>
          <a:off x="39856522" y="1362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oneCellAnchor>
    <xdr:from>
      <xdr:col>34</xdr:col>
      <xdr:colOff>699247</xdr:colOff>
      <xdr:row>11</xdr:row>
      <xdr:rowOff>0</xdr:rowOff>
    </xdr:from>
    <xdr:ext cx="2286000" cy="264560"/>
    <xdr:sp macro="" textlink="">
      <xdr:nvSpPr>
        <xdr:cNvPr id="5" name="Textfeld 4">
          <a:extLst>
            <a:ext uri="{FF2B5EF4-FFF2-40B4-BE49-F238E27FC236}">
              <a16:creationId xmlns:a16="http://schemas.microsoft.com/office/drawing/2014/main" id="{FB51BDF7-1F91-4A06-994C-783011B25304}"/>
            </a:ext>
          </a:extLst>
        </xdr:cNvPr>
        <xdr:cNvSpPr txBox="1"/>
      </xdr:nvSpPr>
      <xdr:spPr>
        <a:xfrm>
          <a:off x="39856522" y="1743075"/>
          <a:ext cx="22860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de-DE" sz="1100"/>
        </a:p>
      </xdr:txBody>
    </xdr:sp>
    <xdr:clientData/>
  </xdr:one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3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0"/>
  <sheetViews>
    <sheetView workbookViewId="0">
      <selection activeCell="B13" sqref="B13"/>
    </sheetView>
  </sheetViews>
  <sheetFormatPr baseColWidth="10" defaultRowHeight="15" x14ac:dyDescent="0.25"/>
  <cols>
    <col min="2" max="2" width="81.28515625" customWidth="1"/>
  </cols>
  <sheetData>
    <row r="1" spans="1:2" x14ac:dyDescent="0.25">
      <c r="A1" s="11" t="s">
        <v>36</v>
      </c>
      <c r="B1" s="12"/>
    </row>
    <row r="2" spans="1:2" x14ac:dyDescent="0.25">
      <c r="B2" s="12"/>
    </row>
    <row r="3" spans="1:2" ht="48" customHeight="1" x14ac:dyDescent="0.25">
      <c r="B3" s="12" t="s">
        <v>39</v>
      </c>
    </row>
    <row r="4" spans="1:2" x14ac:dyDescent="0.25">
      <c r="B4" s="12"/>
    </row>
    <row r="5" spans="1:2" ht="30" x14ac:dyDescent="0.25">
      <c r="B5" s="12" t="s">
        <v>40</v>
      </c>
    </row>
    <row r="6" spans="1:2" x14ac:dyDescent="0.25">
      <c r="B6" s="12" t="s">
        <v>41</v>
      </c>
    </row>
    <row r="7" spans="1:2" x14ac:dyDescent="0.25">
      <c r="B7" s="12"/>
    </row>
    <row r="8" spans="1:2" x14ac:dyDescent="0.25">
      <c r="B8" s="12"/>
    </row>
    <row r="9" spans="1:2" x14ac:dyDescent="0.25">
      <c r="B9" s="12"/>
    </row>
    <row r="10" spans="1:2" x14ac:dyDescent="0.25">
      <c r="B10" s="12"/>
    </row>
    <row r="11" spans="1:2" x14ac:dyDescent="0.25">
      <c r="B11" s="12"/>
    </row>
    <row r="12" spans="1:2" x14ac:dyDescent="0.25">
      <c r="B12" s="12"/>
    </row>
    <row r="13" spans="1:2" x14ac:dyDescent="0.25">
      <c r="B13" s="12"/>
    </row>
    <row r="14" spans="1:2" x14ac:dyDescent="0.25">
      <c r="B14" s="12"/>
    </row>
    <row r="15" spans="1:2" x14ac:dyDescent="0.25">
      <c r="B15" s="12"/>
    </row>
    <row r="16" spans="1:2" x14ac:dyDescent="0.25">
      <c r="B16" s="12"/>
    </row>
    <row r="17" spans="2:2" x14ac:dyDescent="0.25">
      <c r="B17" s="12"/>
    </row>
    <row r="18" spans="2:2" x14ac:dyDescent="0.25">
      <c r="B18" s="12"/>
    </row>
    <row r="19" spans="2:2" x14ac:dyDescent="0.25">
      <c r="B19" s="12"/>
    </row>
    <row r="20" spans="2:2" x14ac:dyDescent="0.25">
      <c r="B20" s="12"/>
    </row>
  </sheetData>
  <pageMargins left="0.7" right="0.7" top="0.78740157499999996" bottom="0.78740157499999996" header="0.3" footer="0.3"/>
  <pageSetup paperSize="9" orientation="portrait" horizontalDpi="1200" verticalDpi="12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1"/>
  <sheetViews>
    <sheetView zoomScaleNormal="100" workbookViewId="0">
      <pane xSplit="4" ySplit="1" topLeftCell="E20" activePane="bottomRight" state="frozen"/>
      <selection pane="topRight" activeCell="F1" sqref="F1"/>
      <selection pane="bottomLeft" activeCell="A2" sqref="A2"/>
      <selection pane="bottomRight" activeCell="D42" sqref="D42"/>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50</v>
      </c>
      <c r="D2" s="16" t="s">
        <v>146</v>
      </c>
      <c r="F2">
        <v>10.94</v>
      </c>
      <c r="G2" t="s">
        <v>44</v>
      </c>
      <c r="H2">
        <v>0</v>
      </c>
      <c r="I2">
        <v>14.55</v>
      </c>
      <c r="L2">
        <f>Constants!$B$2</f>
        <v>2.8</v>
      </c>
      <c r="M2" t="str">
        <f t="shared" ref="M2:M42" si="0">IF(N2&gt;0,G2,"N/A")</f>
        <v>N/A</v>
      </c>
      <c r="N2">
        <f>P2*Constants!$E$2</f>
        <v>0</v>
      </c>
      <c r="P2">
        <f>H2</f>
        <v>0</v>
      </c>
      <c r="Q2">
        <f>P2*Constants!$B$3</f>
        <v>0</v>
      </c>
      <c r="R2">
        <f>IF(Q2-N2&lt;=0, 0, Q2-N2)</f>
        <v>0</v>
      </c>
      <c r="S2">
        <f>I2-P2</f>
        <v>14.55</v>
      </c>
      <c r="T2">
        <f>S2*Constants!$B$2</f>
        <v>40.74</v>
      </c>
      <c r="V2">
        <f>IF(B2="E",1,0)</f>
        <v>0</v>
      </c>
      <c r="W2">
        <f>IF(B2=10,1,0)</f>
        <v>0</v>
      </c>
      <c r="AA2" s="8"/>
      <c r="AJ2" s="4"/>
    </row>
    <row r="3" spans="1:40" x14ac:dyDescent="0.25">
      <c r="A3">
        <v>2</v>
      </c>
      <c r="B3">
        <v>9</v>
      </c>
      <c r="C3" t="s">
        <v>45</v>
      </c>
      <c r="D3" s="16" t="s">
        <v>117</v>
      </c>
      <c r="F3">
        <v>20.13</v>
      </c>
      <c r="G3" t="s">
        <v>44</v>
      </c>
      <c r="H3">
        <v>0</v>
      </c>
      <c r="I3">
        <v>22.05</v>
      </c>
      <c r="L3">
        <f>Constants!$B$2</f>
        <v>2.8</v>
      </c>
      <c r="M3" t="str">
        <f t="shared" si="0"/>
        <v>N/A</v>
      </c>
      <c r="N3">
        <f>P3*Constants!$E$2</f>
        <v>0</v>
      </c>
      <c r="P3">
        <f t="shared" ref="P3:P8" si="1">H3</f>
        <v>0</v>
      </c>
      <c r="Q3">
        <f>P3*Constants!$B$3</f>
        <v>0</v>
      </c>
      <c r="R3">
        <f t="shared" ref="R3:R42" si="2">IF(Q3-N3&lt;=0, 0, Q3-N3)</f>
        <v>0</v>
      </c>
      <c r="S3">
        <f t="shared" ref="S3:S42" si="3">I3-P3</f>
        <v>22.05</v>
      </c>
      <c r="T3">
        <f>S3*Constants!$B$2</f>
        <v>61.739999999999995</v>
      </c>
      <c r="V3">
        <f t="shared" ref="V3:V8" si="4">IF(B3="E",1,0)</f>
        <v>0</v>
      </c>
      <c r="W3">
        <f t="shared" ref="W3:W8" si="5">IF(B3=10,1,0)</f>
        <v>0</v>
      </c>
      <c r="AA3" s="8"/>
      <c r="AJ3" s="4"/>
    </row>
    <row r="4" spans="1:40" x14ac:dyDescent="0.25">
      <c r="A4">
        <v>3</v>
      </c>
      <c r="B4">
        <v>9</v>
      </c>
      <c r="C4" t="s">
        <v>49</v>
      </c>
      <c r="D4" s="16" t="s">
        <v>118</v>
      </c>
      <c r="F4">
        <v>20.61</v>
      </c>
      <c r="G4">
        <v>90</v>
      </c>
      <c r="H4">
        <v>3</v>
      </c>
      <c r="I4">
        <f>21.66</f>
        <v>21.66</v>
      </c>
      <c r="L4">
        <f>Constants!$B$2</f>
        <v>2.8</v>
      </c>
      <c r="M4">
        <f t="shared" si="0"/>
        <v>90</v>
      </c>
      <c r="N4">
        <f>P4*Constants!$E$2</f>
        <v>5.0999999999999996</v>
      </c>
      <c r="P4">
        <f t="shared" si="1"/>
        <v>3</v>
      </c>
      <c r="Q4">
        <f>P4*Constants!$B$3</f>
        <v>12.599999999999998</v>
      </c>
      <c r="R4">
        <f t="shared" si="2"/>
        <v>7.4999999999999982</v>
      </c>
      <c r="S4">
        <f t="shared" si="3"/>
        <v>18.66</v>
      </c>
      <c r="T4">
        <f>S4*Constants!$B$2</f>
        <v>52.247999999999998</v>
      </c>
      <c r="V4">
        <f t="shared" si="4"/>
        <v>0</v>
      </c>
      <c r="W4">
        <f t="shared" si="5"/>
        <v>0</v>
      </c>
      <c r="AA4" s="8"/>
      <c r="AJ4" s="4"/>
    </row>
    <row r="5" spans="1:40" x14ac:dyDescent="0.25">
      <c r="A5">
        <v>4</v>
      </c>
      <c r="B5">
        <v>9</v>
      </c>
      <c r="C5" t="s">
        <v>57</v>
      </c>
      <c r="D5" s="16" t="s">
        <v>147</v>
      </c>
      <c r="E5" s="16" t="s">
        <v>118</v>
      </c>
      <c r="F5">
        <v>3.71</v>
      </c>
      <c r="G5" t="s">
        <v>44</v>
      </c>
      <c r="H5">
        <v>0</v>
      </c>
      <c r="I5">
        <v>8.5500000000000007</v>
      </c>
      <c r="L5">
        <f>Constants!$B$2</f>
        <v>2.8</v>
      </c>
      <c r="M5" t="str">
        <f t="shared" si="0"/>
        <v>N/A</v>
      </c>
      <c r="N5">
        <f>P5*Constants!$E$2</f>
        <v>0</v>
      </c>
      <c r="P5">
        <f>H5</f>
        <v>0</v>
      </c>
      <c r="Q5">
        <f>P5*Constants!$B$3</f>
        <v>0</v>
      </c>
      <c r="R5">
        <f>IF(Q5-N5&lt;=0, 0, Q5-N5)</f>
        <v>0</v>
      </c>
      <c r="S5">
        <f>I5-P5</f>
        <v>8.5500000000000007</v>
      </c>
      <c r="T5">
        <f>S5*Constants!$B$2</f>
        <v>23.94</v>
      </c>
      <c r="V5">
        <f>IF(B5="E",1,0)</f>
        <v>0</v>
      </c>
      <c r="W5">
        <f>IF(B5=10,1,0)</f>
        <v>0</v>
      </c>
      <c r="AA5" s="8"/>
      <c r="AJ5" s="4"/>
    </row>
    <row r="6" spans="1:40" x14ac:dyDescent="0.25">
      <c r="A6">
        <v>5</v>
      </c>
      <c r="B6">
        <v>9</v>
      </c>
      <c r="C6" t="s">
        <v>49</v>
      </c>
      <c r="D6" s="16" t="s">
        <v>119</v>
      </c>
      <c r="F6">
        <v>20.98</v>
      </c>
      <c r="G6">
        <v>90</v>
      </c>
      <c r="H6">
        <v>3.6</v>
      </c>
      <c r="I6">
        <v>21.76</v>
      </c>
      <c r="L6">
        <f>Constants!$B$2</f>
        <v>2.8</v>
      </c>
      <c r="M6">
        <f t="shared" si="0"/>
        <v>90</v>
      </c>
      <c r="N6">
        <f>P6*Constants!$E$2</f>
        <v>6.12</v>
      </c>
      <c r="P6">
        <f t="shared" si="1"/>
        <v>3.6</v>
      </c>
      <c r="Q6">
        <f>P6*Constants!$B$3</f>
        <v>15.119999999999997</v>
      </c>
      <c r="R6">
        <f t="shared" si="2"/>
        <v>8.9999999999999964</v>
      </c>
      <c r="S6">
        <f t="shared" si="3"/>
        <v>18.16</v>
      </c>
      <c r="T6">
        <f>S6*Constants!$B$2</f>
        <v>50.847999999999999</v>
      </c>
      <c r="V6">
        <f t="shared" si="4"/>
        <v>0</v>
      </c>
      <c r="W6">
        <f t="shared" si="5"/>
        <v>0</v>
      </c>
      <c r="AA6" s="8"/>
      <c r="AJ6" s="4"/>
    </row>
    <row r="7" spans="1:40" x14ac:dyDescent="0.25">
      <c r="A7">
        <v>6</v>
      </c>
      <c r="B7">
        <v>9</v>
      </c>
      <c r="C7" t="s">
        <v>57</v>
      </c>
      <c r="D7" s="16" t="s">
        <v>148</v>
      </c>
      <c r="E7" s="16" t="s">
        <v>119</v>
      </c>
      <c r="F7">
        <v>3.71</v>
      </c>
      <c r="G7" t="s">
        <v>44</v>
      </c>
      <c r="H7">
        <v>0</v>
      </c>
      <c r="I7">
        <v>8.5500000000000007</v>
      </c>
      <c r="L7">
        <f>Constants!$B$2</f>
        <v>2.8</v>
      </c>
      <c r="M7" t="str">
        <f t="shared" si="0"/>
        <v>N/A</v>
      </c>
      <c r="N7">
        <f>P7*Constants!$E$2</f>
        <v>0</v>
      </c>
      <c r="P7">
        <f>H7</f>
        <v>0</v>
      </c>
      <c r="Q7">
        <f>P7*Constants!$B$3</f>
        <v>0</v>
      </c>
      <c r="R7">
        <f>IF(Q7-N7&lt;=0, 0, Q7-N7)</f>
        <v>0</v>
      </c>
      <c r="S7">
        <f>I7-P7</f>
        <v>8.5500000000000007</v>
      </c>
      <c r="T7">
        <f>S7*Constants!$B$2</f>
        <v>23.94</v>
      </c>
      <c r="V7">
        <f>IF(B7="E",1,0)</f>
        <v>0</v>
      </c>
      <c r="W7">
        <f>IF(B7=10,1,0)</f>
        <v>0</v>
      </c>
      <c r="AA7" s="8"/>
      <c r="AJ7" s="4"/>
    </row>
    <row r="8" spans="1:40" x14ac:dyDescent="0.25">
      <c r="A8">
        <v>7</v>
      </c>
      <c r="B8">
        <v>9</v>
      </c>
      <c r="C8" t="s">
        <v>49</v>
      </c>
      <c r="D8" s="16" t="s">
        <v>120</v>
      </c>
      <c r="F8">
        <v>20.98</v>
      </c>
      <c r="G8">
        <v>90</v>
      </c>
      <c r="H8">
        <v>3.6</v>
      </c>
      <c r="I8">
        <v>21.76</v>
      </c>
      <c r="L8">
        <f>Constants!$B$2</f>
        <v>2.8</v>
      </c>
      <c r="M8">
        <f t="shared" si="0"/>
        <v>90</v>
      </c>
      <c r="N8">
        <f>P8*Constants!$E$2</f>
        <v>6.12</v>
      </c>
      <c r="P8">
        <f t="shared" si="1"/>
        <v>3.6</v>
      </c>
      <c r="Q8">
        <f>P8*Constants!$B$3</f>
        <v>15.119999999999997</v>
      </c>
      <c r="R8">
        <f t="shared" si="2"/>
        <v>8.9999999999999964</v>
      </c>
      <c r="S8">
        <f t="shared" si="3"/>
        <v>18.16</v>
      </c>
      <c r="T8">
        <f>S8*Constants!$B$2</f>
        <v>50.847999999999999</v>
      </c>
      <c r="V8">
        <f t="shared" si="4"/>
        <v>0</v>
      </c>
      <c r="W8">
        <f t="shared" si="5"/>
        <v>0</v>
      </c>
      <c r="AA8" s="8"/>
      <c r="AJ8" s="4"/>
    </row>
    <row r="9" spans="1:40" x14ac:dyDescent="0.25">
      <c r="A9">
        <v>8</v>
      </c>
      <c r="B9">
        <v>9</v>
      </c>
      <c r="C9" t="s">
        <v>57</v>
      </c>
      <c r="D9" s="16" t="s">
        <v>149</v>
      </c>
      <c r="E9" s="16" t="s">
        <v>120</v>
      </c>
      <c r="F9">
        <v>3.71</v>
      </c>
      <c r="G9" t="s">
        <v>44</v>
      </c>
      <c r="H9">
        <v>0</v>
      </c>
      <c r="I9">
        <v>8.5500000000000007</v>
      </c>
      <c r="L9">
        <f>Constants!$B$2</f>
        <v>2.8</v>
      </c>
      <c r="M9" t="str">
        <f t="shared" si="0"/>
        <v>N/A</v>
      </c>
      <c r="N9">
        <f>P9*Constants!$E$2</f>
        <v>0</v>
      </c>
      <c r="P9">
        <f>H9</f>
        <v>0</v>
      </c>
      <c r="Q9">
        <f>P9*Constants!$B$3</f>
        <v>0</v>
      </c>
      <c r="R9">
        <f>IF(Q9-N9&lt;=0, 0, Q9-N9)</f>
        <v>0</v>
      </c>
      <c r="S9">
        <f>I9-P9</f>
        <v>8.5500000000000007</v>
      </c>
      <c r="T9">
        <f>S9*Constants!$B$2</f>
        <v>23.94</v>
      </c>
      <c r="V9">
        <f>IF(B9="E",1,0)</f>
        <v>0</v>
      </c>
      <c r="W9">
        <f>IF(B9=10,1,0)</f>
        <v>0</v>
      </c>
      <c r="AA9" s="8"/>
      <c r="AJ9" s="4"/>
    </row>
    <row r="10" spans="1:40" x14ac:dyDescent="0.25">
      <c r="A10">
        <v>9</v>
      </c>
      <c r="B10">
        <v>9</v>
      </c>
      <c r="C10" t="s">
        <v>66</v>
      </c>
      <c r="D10" s="16" t="s">
        <v>121</v>
      </c>
      <c r="F10">
        <v>6.12</v>
      </c>
      <c r="G10" t="s">
        <v>44</v>
      </c>
      <c r="H10">
        <v>0</v>
      </c>
      <c r="I10">
        <v>10.14</v>
      </c>
      <c r="L10">
        <f>Constants!$B$2</f>
        <v>2.8</v>
      </c>
      <c r="M10" t="str">
        <f t="shared" si="0"/>
        <v>N/A</v>
      </c>
      <c r="N10">
        <f>P10*Constants!$E$2</f>
        <v>0</v>
      </c>
      <c r="P10">
        <f t="shared" ref="P10:P42" si="6">H10</f>
        <v>0</v>
      </c>
      <c r="Q10">
        <f>P10*Constants!$B$3</f>
        <v>0</v>
      </c>
      <c r="R10">
        <f t="shared" si="2"/>
        <v>0</v>
      </c>
      <c r="S10">
        <f t="shared" si="3"/>
        <v>10.14</v>
      </c>
      <c r="T10">
        <f>S10*Constants!$B$2</f>
        <v>28.391999999999999</v>
      </c>
      <c r="V10">
        <f t="shared" ref="V10:V42" si="7">IF(B10="E",1,0)</f>
        <v>0</v>
      </c>
      <c r="W10">
        <f t="shared" ref="W10:W42" si="8">IF(B10=10,1,0)</f>
        <v>0</v>
      </c>
      <c r="AA10" s="8"/>
      <c r="AJ10" s="4"/>
    </row>
    <row r="11" spans="1:40" x14ac:dyDescent="0.25">
      <c r="A11">
        <v>10</v>
      </c>
      <c r="B11">
        <v>9</v>
      </c>
      <c r="C11" t="s">
        <v>59</v>
      </c>
      <c r="D11" s="16" t="s">
        <v>122</v>
      </c>
      <c r="F11">
        <v>27.2</v>
      </c>
      <c r="G11">
        <v>90</v>
      </c>
      <c r="H11">
        <v>4.8</v>
      </c>
      <c r="I11">
        <v>25.76</v>
      </c>
      <c r="L11">
        <f>Constants!$B$2</f>
        <v>2.8</v>
      </c>
      <c r="M11">
        <f t="shared" si="0"/>
        <v>90</v>
      </c>
      <c r="N11">
        <f>P11*Constants!$E$2</f>
        <v>8.16</v>
      </c>
      <c r="P11">
        <f t="shared" si="6"/>
        <v>4.8</v>
      </c>
      <c r="Q11">
        <f>P11*Constants!$B$3</f>
        <v>20.159999999999997</v>
      </c>
      <c r="R11">
        <f t="shared" si="2"/>
        <v>11.999999999999996</v>
      </c>
      <c r="S11">
        <f t="shared" si="3"/>
        <v>20.96</v>
      </c>
      <c r="T11">
        <f>S11*Constants!$B$2</f>
        <v>58.687999999999995</v>
      </c>
      <c r="V11">
        <f t="shared" si="7"/>
        <v>0</v>
      </c>
      <c r="W11">
        <f t="shared" si="8"/>
        <v>0</v>
      </c>
      <c r="AA11" s="8"/>
      <c r="AJ11" s="4"/>
    </row>
    <row r="12" spans="1:40" x14ac:dyDescent="0.25">
      <c r="A12">
        <v>11</v>
      </c>
      <c r="B12">
        <v>9</v>
      </c>
      <c r="C12" t="s">
        <v>55</v>
      </c>
      <c r="D12" s="16" t="s">
        <v>123</v>
      </c>
      <c r="F12">
        <v>7.86</v>
      </c>
      <c r="G12">
        <v>90</v>
      </c>
      <c r="H12">
        <v>1.2</v>
      </c>
      <c r="I12">
        <v>17.559999999999999</v>
      </c>
      <c r="L12">
        <f>Constants!$B$2</f>
        <v>2.8</v>
      </c>
      <c r="M12">
        <f t="shared" si="0"/>
        <v>90</v>
      </c>
      <c r="N12">
        <f>P12*Constants!$E$2</f>
        <v>2.04</v>
      </c>
      <c r="P12">
        <f t="shared" si="6"/>
        <v>1.2</v>
      </c>
      <c r="Q12">
        <f>P12*Constants!$B$3</f>
        <v>5.0399999999999991</v>
      </c>
      <c r="R12">
        <f t="shared" si="2"/>
        <v>2.9999999999999991</v>
      </c>
      <c r="S12">
        <f t="shared" si="3"/>
        <v>16.36</v>
      </c>
      <c r="T12">
        <f>S12*Constants!$B$2</f>
        <v>45.807999999999993</v>
      </c>
      <c r="V12">
        <f t="shared" si="7"/>
        <v>0</v>
      </c>
      <c r="W12">
        <f t="shared" si="8"/>
        <v>0</v>
      </c>
      <c r="AA12" s="8"/>
      <c r="AJ12" s="4"/>
    </row>
    <row r="13" spans="1:40" x14ac:dyDescent="0.25">
      <c r="A13">
        <v>12</v>
      </c>
      <c r="B13">
        <v>9</v>
      </c>
      <c r="C13" t="s">
        <v>55</v>
      </c>
      <c r="D13" s="16" t="s">
        <v>124</v>
      </c>
      <c r="F13">
        <v>14.02</v>
      </c>
      <c r="G13">
        <v>90</v>
      </c>
      <c r="H13">
        <v>2.4</v>
      </c>
      <c r="I13">
        <v>17.559999999999999</v>
      </c>
      <c r="L13">
        <f>Constants!$B$2</f>
        <v>2.8</v>
      </c>
      <c r="M13">
        <f t="shared" si="0"/>
        <v>90</v>
      </c>
      <c r="N13">
        <f>P13*Constants!$E$2</f>
        <v>4.08</v>
      </c>
      <c r="P13">
        <f t="shared" si="6"/>
        <v>2.4</v>
      </c>
      <c r="Q13">
        <f>P13*Constants!$B$3</f>
        <v>10.079999999999998</v>
      </c>
      <c r="R13">
        <f t="shared" si="2"/>
        <v>5.9999999999999982</v>
      </c>
      <c r="S13">
        <f t="shared" si="3"/>
        <v>15.159999999999998</v>
      </c>
      <c r="T13">
        <f>S13*Constants!$B$2</f>
        <v>42.447999999999993</v>
      </c>
      <c r="V13">
        <f t="shared" si="7"/>
        <v>0</v>
      </c>
      <c r="W13">
        <f t="shared" si="8"/>
        <v>0</v>
      </c>
      <c r="AA13" s="8"/>
      <c r="AJ13" s="4"/>
    </row>
    <row r="14" spans="1:40" x14ac:dyDescent="0.25">
      <c r="A14">
        <v>13</v>
      </c>
      <c r="B14">
        <v>9</v>
      </c>
      <c r="C14" t="s">
        <v>49</v>
      </c>
      <c r="D14" s="16" t="s">
        <v>125</v>
      </c>
      <c r="F14">
        <v>19.29</v>
      </c>
      <c r="G14">
        <v>90</v>
      </c>
      <c r="H14">
        <v>3.6</v>
      </c>
      <c r="I14">
        <v>19.66</v>
      </c>
      <c r="L14">
        <f>Constants!$B$2</f>
        <v>2.8</v>
      </c>
      <c r="M14">
        <f t="shared" si="0"/>
        <v>90</v>
      </c>
      <c r="N14">
        <f>P14*Constants!$E$2</f>
        <v>6.12</v>
      </c>
      <c r="P14">
        <f t="shared" si="6"/>
        <v>3.6</v>
      </c>
      <c r="Q14">
        <f>P14*Constants!$B$3</f>
        <v>15.119999999999997</v>
      </c>
      <c r="R14">
        <f t="shared" si="2"/>
        <v>8.9999999999999964</v>
      </c>
      <c r="S14">
        <f t="shared" si="3"/>
        <v>16.059999999999999</v>
      </c>
      <c r="T14">
        <f>S14*Constants!$B$2</f>
        <v>44.967999999999996</v>
      </c>
      <c r="V14">
        <f t="shared" si="7"/>
        <v>0</v>
      </c>
      <c r="W14">
        <f t="shared" si="8"/>
        <v>0</v>
      </c>
      <c r="AA14" s="8"/>
      <c r="AJ14" s="4"/>
    </row>
    <row r="15" spans="1:40" x14ac:dyDescent="0.25">
      <c r="A15">
        <v>14</v>
      </c>
      <c r="B15">
        <v>9</v>
      </c>
      <c r="C15" t="s">
        <v>57</v>
      </c>
      <c r="D15" s="16" t="s">
        <v>126</v>
      </c>
      <c r="E15" s="16" t="s">
        <v>125</v>
      </c>
      <c r="F15">
        <v>3.71</v>
      </c>
      <c r="G15" t="s">
        <v>44</v>
      </c>
      <c r="H15">
        <v>0</v>
      </c>
      <c r="I15">
        <v>8.76</v>
      </c>
      <c r="L15">
        <f>Constants!$B$2</f>
        <v>2.8</v>
      </c>
      <c r="M15" t="str">
        <f t="shared" si="0"/>
        <v>N/A</v>
      </c>
      <c r="N15">
        <f>P15*Constants!$E$2</f>
        <v>0</v>
      </c>
      <c r="P15">
        <f t="shared" si="6"/>
        <v>0</v>
      </c>
      <c r="Q15">
        <f>P15*Constants!$B$3</f>
        <v>0</v>
      </c>
      <c r="R15">
        <f t="shared" si="2"/>
        <v>0</v>
      </c>
      <c r="S15">
        <f t="shared" si="3"/>
        <v>8.76</v>
      </c>
      <c r="T15">
        <f>S15*Constants!$B$2</f>
        <v>24.527999999999999</v>
      </c>
      <c r="V15">
        <f t="shared" si="7"/>
        <v>0</v>
      </c>
      <c r="W15">
        <f t="shared" si="8"/>
        <v>0</v>
      </c>
      <c r="AA15" s="8"/>
      <c r="AJ15" s="4"/>
    </row>
    <row r="16" spans="1:40" x14ac:dyDescent="0.25">
      <c r="A16">
        <v>15</v>
      </c>
      <c r="B16">
        <v>9</v>
      </c>
      <c r="C16" t="s">
        <v>49</v>
      </c>
      <c r="D16" s="16" t="s">
        <v>127</v>
      </c>
      <c r="F16">
        <v>20.98</v>
      </c>
      <c r="G16">
        <v>90</v>
      </c>
      <c r="H16">
        <v>3.6</v>
      </c>
      <c r="I16">
        <v>21.76</v>
      </c>
      <c r="L16">
        <f>Constants!$B$2</f>
        <v>2.8</v>
      </c>
      <c r="M16">
        <f t="shared" si="0"/>
        <v>90</v>
      </c>
      <c r="N16">
        <f>P16*Constants!$E$2</f>
        <v>6.12</v>
      </c>
      <c r="P16">
        <f t="shared" si="6"/>
        <v>3.6</v>
      </c>
      <c r="Q16">
        <f>P16*Constants!$B$3</f>
        <v>15.119999999999997</v>
      </c>
      <c r="R16">
        <f t="shared" si="2"/>
        <v>8.9999999999999964</v>
      </c>
      <c r="S16">
        <f t="shared" si="3"/>
        <v>18.16</v>
      </c>
      <c r="T16">
        <f>S16*Constants!$B$2</f>
        <v>50.847999999999999</v>
      </c>
      <c r="V16">
        <f t="shared" si="7"/>
        <v>0</v>
      </c>
      <c r="W16">
        <f t="shared" si="8"/>
        <v>0</v>
      </c>
      <c r="AA16" s="8"/>
      <c r="AJ16" s="4"/>
    </row>
    <row r="17" spans="1:36" x14ac:dyDescent="0.25">
      <c r="A17">
        <v>16</v>
      </c>
      <c r="B17">
        <v>9</v>
      </c>
      <c r="C17" t="s">
        <v>57</v>
      </c>
      <c r="D17" s="16" t="s">
        <v>150</v>
      </c>
      <c r="E17" s="16" t="s">
        <v>127</v>
      </c>
      <c r="F17">
        <v>3.71</v>
      </c>
      <c r="G17" t="s">
        <v>44</v>
      </c>
      <c r="H17">
        <v>0</v>
      </c>
      <c r="I17">
        <v>8.76</v>
      </c>
      <c r="L17">
        <f>Constants!$B$2</f>
        <v>2.8</v>
      </c>
      <c r="M17" t="str">
        <f t="shared" si="0"/>
        <v>N/A</v>
      </c>
      <c r="N17">
        <f>P17*Constants!$E$2</f>
        <v>0</v>
      </c>
      <c r="P17">
        <f t="shared" si="6"/>
        <v>0</v>
      </c>
      <c r="Q17">
        <f>P17*Constants!$B$3</f>
        <v>0</v>
      </c>
      <c r="R17">
        <f t="shared" si="2"/>
        <v>0</v>
      </c>
      <c r="S17">
        <f t="shared" si="3"/>
        <v>8.76</v>
      </c>
      <c r="T17">
        <f>S17*Constants!$B$2</f>
        <v>24.527999999999999</v>
      </c>
      <c r="V17">
        <f t="shared" si="7"/>
        <v>0</v>
      </c>
      <c r="W17">
        <f t="shared" si="8"/>
        <v>0</v>
      </c>
      <c r="AA17" s="8"/>
      <c r="AJ17" s="4"/>
    </row>
    <row r="18" spans="1:36" x14ac:dyDescent="0.25">
      <c r="A18">
        <v>17</v>
      </c>
      <c r="B18">
        <v>9</v>
      </c>
      <c r="C18" t="s">
        <v>49</v>
      </c>
      <c r="D18" s="16" t="s">
        <v>128</v>
      </c>
      <c r="F18">
        <v>20.98</v>
      </c>
      <c r="G18">
        <v>90</v>
      </c>
      <c r="H18">
        <v>3.6</v>
      </c>
      <c r="I18">
        <v>21.76</v>
      </c>
      <c r="L18">
        <f>Constants!$B$2</f>
        <v>2.8</v>
      </c>
      <c r="M18">
        <f t="shared" si="0"/>
        <v>90</v>
      </c>
      <c r="N18">
        <f>P18*Constants!$E$2</f>
        <v>6.12</v>
      </c>
      <c r="P18">
        <f t="shared" si="6"/>
        <v>3.6</v>
      </c>
      <c r="Q18">
        <f>P18*Constants!$B$3</f>
        <v>15.119999999999997</v>
      </c>
      <c r="R18">
        <f t="shared" si="2"/>
        <v>8.9999999999999964</v>
      </c>
      <c r="S18">
        <f t="shared" si="3"/>
        <v>18.16</v>
      </c>
      <c r="T18">
        <f>S18*Constants!$B$2</f>
        <v>50.847999999999999</v>
      </c>
      <c r="V18">
        <f t="shared" si="7"/>
        <v>0</v>
      </c>
      <c r="W18">
        <f t="shared" si="8"/>
        <v>0</v>
      </c>
      <c r="AA18" s="8"/>
      <c r="AJ18" s="4"/>
    </row>
    <row r="19" spans="1:36" x14ac:dyDescent="0.25">
      <c r="A19">
        <v>18</v>
      </c>
      <c r="B19">
        <v>9</v>
      </c>
      <c r="C19" t="s">
        <v>57</v>
      </c>
      <c r="D19" s="16" t="s">
        <v>129</v>
      </c>
      <c r="E19" s="16" t="s">
        <v>128</v>
      </c>
      <c r="F19">
        <v>3.71</v>
      </c>
      <c r="G19" t="s">
        <v>44</v>
      </c>
      <c r="H19">
        <v>0</v>
      </c>
      <c r="I19">
        <v>8.76</v>
      </c>
      <c r="L19">
        <f>Constants!$B$2</f>
        <v>2.8</v>
      </c>
      <c r="M19" t="str">
        <f t="shared" si="0"/>
        <v>N/A</v>
      </c>
      <c r="N19">
        <f>P19*Constants!$E$2</f>
        <v>0</v>
      </c>
      <c r="P19">
        <f t="shared" si="6"/>
        <v>0</v>
      </c>
      <c r="Q19">
        <f>P19*Constants!$B$3</f>
        <v>0</v>
      </c>
      <c r="R19">
        <f t="shared" si="2"/>
        <v>0</v>
      </c>
      <c r="S19">
        <f t="shared" si="3"/>
        <v>8.76</v>
      </c>
      <c r="T19">
        <f>S19*Constants!$B$2</f>
        <v>24.527999999999999</v>
      </c>
      <c r="V19">
        <f t="shared" si="7"/>
        <v>0</v>
      </c>
      <c r="W19">
        <f t="shared" si="8"/>
        <v>0</v>
      </c>
      <c r="AA19" s="8"/>
      <c r="AJ19" s="4"/>
    </row>
    <row r="20" spans="1:36" x14ac:dyDescent="0.25">
      <c r="A20">
        <v>19</v>
      </c>
      <c r="B20">
        <v>9</v>
      </c>
      <c r="C20" t="s">
        <v>49</v>
      </c>
      <c r="D20" s="16" t="s">
        <v>130</v>
      </c>
      <c r="F20">
        <v>20.329999999999998</v>
      </c>
      <c r="G20">
        <v>90</v>
      </c>
      <c r="H20">
        <f>3.3+3.6</f>
        <v>6.9</v>
      </c>
      <c r="I20">
        <v>20.94</v>
      </c>
      <c r="L20">
        <f>Constants!$B$2</f>
        <v>2.8</v>
      </c>
      <c r="M20">
        <f t="shared" si="0"/>
        <v>90</v>
      </c>
      <c r="N20">
        <f>P20*Constants!$E$2</f>
        <v>11.73</v>
      </c>
      <c r="P20">
        <f t="shared" si="6"/>
        <v>6.9</v>
      </c>
      <c r="Q20">
        <f>P20*Constants!$B$3</f>
        <v>28.979999999999997</v>
      </c>
      <c r="R20">
        <f t="shared" si="2"/>
        <v>17.249999999999996</v>
      </c>
      <c r="S20">
        <f t="shared" si="3"/>
        <v>14.040000000000001</v>
      </c>
      <c r="T20">
        <f>S20*Constants!$B$2</f>
        <v>39.311999999999998</v>
      </c>
      <c r="V20">
        <f t="shared" si="7"/>
        <v>0</v>
      </c>
      <c r="W20">
        <f t="shared" si="8"/>
        <v>0</v>
      </c>
      <c r="AA20" s="8"/>
      <c r="AJ20" s="4"/>
    </row>
    <row r="21" spans="1:36" x14ac:dyDescent="0.25">
      <c r="A21">
        <v>20</v>
      </c>
      <c r="B21">
        <v>9</v>
      </c>
      <c r="C21" t="s">
        <v>49</v>
      </c>
      <c r="D21" s="16" t="s">
        <v>131</v>
      </c>
      <c r="F21">
        <v>20.399999999999999</v>
      </c>
      <c r="G21">
        <v>270</v>
      </c>
      <c r="H21">
        <f>3.3+3.6</f>
        <v>6.9</v>
      </c>
      <c r="I21">
        <v>20.84</v>
      </c>
      <c r="J21">
        <f>3.3+3.6</f>
        <v>6.9</v>
      </c>
      <c r="L21">
        <f>Constants!$B$2</f>
        <v>2.8</v>
      </c>
      <c r="M21">
        <f t="shared" si="0"/>
        <v>270</v>
      </c>
      <c r="N21">
        <f>P21*Constants!$E$2</f>
        <v>11.73</v>
      </c>
      <c r="P21">
        <f t="shared" si="6"/>
        <v>6.9</v>
      </c>
      <c r="Q21">
        <f>P21*Constants!$B$3</f>
        <v>28.979999999999997</v>
      </c>
      <c r="R21">
        <f t="shared" si="2"/>
        <v>17.249999999999996</v>
      </c>
      <c r="S21">
        <f t="shared" si="3"/>
        <v>13.94</v>
      </c>
      <c r="T21">
        <f>S21*Constants!$B$2</f>
        <v>39.031999999999996</v>
      </c>
      <c r="V21">
        <f t="shared" si="7"/>
        <v>0</v>
      </c>
      <c r="W21">
        <f t="shared" si="8"/>
        <v>0</v>
      </c>
      <c r="AA21" s="8"/>
      <c r="AJ21" s="4"/>
    </row>
    <row r="22" spans="1:36" x14ac:dyDescent="0.25">
      <c r="A22">
        <v>21</v>
      </c>
      <c r="B22">
        <v>9</v>
      </c>
      <c r="C22" t="s">
        <v>57</v>
      </c>
      <c r="D22" s="16" t="s">
        <v>151</v>
      </c>
      <c r="E22" s="16" t="s">
        <v>131</v>
      </c>
      <c r="F22">
        <v>3.71</v>
      </c>
      <c r="G22" t="s">
        <v>44</v>
      </c>
      <c r="H22">
        <v>0</v>
      </c>
      <c r="I22">
        <v>8.76</v>
      </c>
      <c r="L22">
        <f>Constants!$B$2</f>
        <v>2.8</v>
      </c>
      <c r="M22" t="str">
        <f t="shared" si="0"/>
        <v>N/A</v>
      </c>
      <c r="N22">
        <f>P22*Constants!$E$2</f>
        <v>0</v>
      </c>
      <c r="P22">
        <f t="shared" si="6"/>
        <v>0</v>
      </c>
      <c r="Q22">
        <f>P22*Constants!$B$3</f>
        <v>0</v>
      </c>
      <c r="R22">
        <f t="shared" si="2"/>
        <v>0</v>
      </c>
      <c r="S22">
        <f t="shared" si="3"/>
        <v>8.76</v>
      </c>
      <c r="T22">
        <f>S22*Constants!$B$2</f>
        <v>24.527999999999999</v>
      </c>
      <c r="V22">
        <f t="shared" si="7"/>
        <v>0</v>
      </c>
      <c r="W22">
        <f t="shared" si="8"/>
        <v>0</v>
      </c>
      <c r="AA22" s="8"/>
      <c r="AJ22" s="4"/>
    </row>
    <row r="23" spans="1:36" x14ac:dyDescent="0.25">
      <c r="A23">
        <v>22</v>
      </c>
      <c r="B23">
        <v>9</v>
      </c>
      <c r="C23" t="s">
        <v>49</v>
      </c>
      <c r="D23" s="16" t="s">
        <v>132</v>
      </c>
      <c r="F23">
        <v>20.97</v>
      </c>
      <c r="G23">
        <v>270</v>
      </c>
      <c r="H23">
        <v>3.6</v>
      </c>
      <c r="I23">
        <v>21.76</v>
      </c>
      <c r="L23">
        <f>Constants!$B$2</f>
        <v>2.8</v>
      </c>
      <c r="M23">
        <f t="shared" si="0"/>
        <v>270</v>
      </c>
      <c r="N23">
        <f>P23*Constants!$E$2</f>
        <v>6.12</v>
      </c>
      <c r="P23">
        <f t="shared" si="6"/>
        <v>3.6</v>
      </c>
      <c r="Q23">
        <f>P23*Constants!$B$3</f>
        <v>15.119999999999997</v>
      </c>
      <c r="R23">
        <f t="shared" si="2"/>
        <v>8.9999999999999964</v>
      </c>
      <c r="S23">
        <f t="shared" si="3"/>
        <v>18.16</v>
      </c>
      <c r="T23">
        <f>S23*Constants!$B$2</f>
        <v>50.847999999999999</v>
      </c>
      <c r="V23">
        <f t="shared" si="7"/>
        <v>0</v>
      </c>
      <c r="W23">
        <f t="shared" si="8"/>
        <v>0</v>
      </c>
      <c r="AA23" s="8"/>
      <c r="AJ23" s="4"/>
    </row>
    <row r="24" spans="1:36" x14ac:dyDescent="0.25">
      <c r="A24">
        <v>23</v>
      </c>
      <c r="B24">
        <v>9</v>
      </c>
      <c r="C24" t="s">
        <v>57</v>
      </c>
      <c r="D24" s="16" t="s">
        <v>152</v>
      </c>
      <c r="E24" s="16" t="s">
        <v>132</v>
      </c>
      <c r="F24">
        <v>3.71</v>
      </c>
      <c r="G24" t="s">
        <v>44</v>
      </c>
      <c r="H24">
        <v>0</v>
      </c>
      <c r="I24">
        <v>8.76</v>
      </c>
      <c r="L24">
        <f>Constants!$B$2</f>
        <v>2.8</v>
      </c>
      <c r="M24" t="str">
        <f t="shared" si="0"/>
        <v>N/A</v>
      </c>
      <c r="N24">
        <f>P24*Constants!$E$2</f>
        <v>0</v>
      </c>
      <c r="P24">
        <f t="shared" si="6"/>
        <v>0</v>
      </c>
      <c r="Q24">
        <f>P24*Constants!$B$3</f>
        <v>0</v>
      </c>
      <c r="R24">
        <f t="shared" si="2"/>
        <v>0</v>
      </c>
      <c r="S24">
        <f t="shared" si="3"/>
        <v>8.76</v>
      </c>
      <c r="T24">
        <f>S24*Constants!$B$2</f>
        <v>24.527999999999999</v>
      </c>
      <c r="V24">
        <f t="shared" si="7"/>
        <v>0</v>
      </c>
      <c r="W24">
        <f t="shared" si="8"/>
        <v>0</v>
      </c>
      <c r="AA24" s="8"/>
      <c r="AJ24" s="4"/>
    </row>
    <row r="25" spans="1:36" x14ac:dyDescent="0.25">
      <c r="A25">
        <v>24</v>
      </c>
      <c r="B25">
        <v>9</v>
      </c>
      <c r="C25" t="s">
        <v>49</v>
      </c>
      <c r="D25" s="16" t="s">
        <v>133</v>
      </c>
      <c r="F25">
        <v>20.98</v>
      </c>
      <c r="G25">
        <v>270</v>
      </c>
      <c r="H25">
        <v>3.6</v>
      </c>
      <c r="I25">
        <v>21.76</v>
      </c>
      <c r="L25">
        <f>Constants!$B$2</f>
        <v>2.8</v>
      </c>
      <c r="M25">
        <f t="shared" si="0"/>
        <v>270</v>
      </c>
      <c r="N25">
        <f>P25*Constants!$E$2</f>
        <v>6.12</v>
      </c>
      <c r="P25">
        <f t="shared" si="6"/>
        <v>3.6</v>
      </c>
      <c r="Q25">
        <f>P25*Constants!$B$3</f>
        <v>15.119999999999997</v>
      </c>
      <c r="R25">
        <f t="shared" si="2"/>
        <v>8.9999999999999964</v>
      </c>
      <c r="S25">
        <f t="shared" si="3"/>
        <v>18.16</v>
      </c>
      <c r="T25">
        <f>S25*Constants!$B$2</f>
        <v>50.847999999999999</v>
      </c>
      <c r="V25">
        <f t="shared" si="7"/>
        <v>0</v>
      </c>
      <c r="W25">
        <f t="shared" si="8"/>
        <v>0</v>
      </c>
      <c r="AA25" s="8"/>
      <c r="AJ25" s="4"/>
    </row>
    <row r="26" spans="1:36" x14ac:dyDescent="0.25">
      <c r="A26">
        <v>25</v>
      </c>
      <c r="B26">
        <v>9</v>
      </c>
      <c r="C26" t="s">
        <v>57</v>
      </c>
      <c r="D26" s="16" t="s">
        <v>153</v>
      </c>
      <c r="E26" s="16" t="s">
        <v>133</v>
      </c>
      <c r="F26">
        <v>3.71</v>
      </c>
      <c r="G26" t="s">
        <v>44</v>
      </c>
      <c r="H26">
        <v>0</v>
      </c>
      <c r="I26">
        <v>8.76</v>
      </c>
      <c r="L26">
        <f>Constants!$B$2</f>
        <v>2.8</v>
      </c>
      <c r="M26" t="str">
        <f t="shared" si="0"/>
        <v>N/A</v>
      </c>
      <c r="N26">
        <f>P26*Constants!$E$2</f>
        <v>0</v>
      </c>
      <c r="P26">
        <f t="shared" si="6"/>
        <v>0</v>
      </c>
      <c r="Q26">
        <f>P26*Constants!$B$3</f>
        <v>0</v>
      </c>
      <c r="R26">
        <f t="shared" si="2"/>
        <v>0</v>
      </c>
      <c r="S26">
        <f t="shared" si="3"/>
        <v>8.76</v>
      </c>
      <c r="T26">
        <f>S26*Constants!$B$2</f>
        <v>24.527999999999999</v>
      </c>
      <c r="V26">
        <f t="shared" si="7"/>
        <v>0</v>
      </c>
      <c r="W26">
        <f t="shared" si="8"/>
        <v>0</v>
      </c>
      <c r="AA26" s="8"/>
      <c r="AJ26" s="4"/>
    </row>
    <row r="27" spans="1:36" x14ac:dyDescent="0.25">
      <c r="A27">
        <v>26</v>
      </c>
      <c r="B27">
        <v>9</v>
      </c>
      <c r="C27" t="s">
        <v>49</v>
      </c>
      <c r="D27" s="16" t="s">
        <v>134</v>
      </c>
      <c r="F27">
        <v>19.309999999999999</v>
      </c>
      <c r="G27">
        <v>270</v>
      </c>
      <c r="H27">
        <v>3.6</v>
      </c>
      <c r="I27">
        <v>19.66</v>
      </c>
      <c r="L27">
        <f>Constants!$B$2</f>
        <v>2.8</v>
      </c>
      <c r="M27">
        <f t="shared" si="0"/>
        <v>270</v>
      </c>
      <c r="N27">
        <f>P27*Constants!$E$2</f>
        <v>6.12</v>
      </c>
      <c r="P27">
        <f t="shared" si="6"/>
        <v>3.6</v>
      </c>
      <c r="Q27">
        <f>P27*Constants!$B$3</f>
        <v>15.119999999999997</v>
      </c>
      <c r="R27">
        <f t="shared" si="2"/>
        <v>8.9999999999999964</v>
      </c>
      <c r="S27">
        <f t="shared" si="3"/>
        <v>16.059999999999999</v>
      </c>
      <c r="T27">
        <f>S27*Constants!$B$2</f>
        <v>44.967999999999996</v>
      </c>
      <c r="V27">
        <f t="shared" si="7"/>
        <v>0</v>
      </c>
      <c r="W27">
        <f t="shared" si="8"/>
        <v>0</v>
      </c>
      <c r="AA27" s="8"/>
      <c r="AJ27" s="4"/>
    </row>
    <row r="28" spans="1:36" x14ac:dyDescent="0.25">
      <c r="A28">
        <v>27</v>
      </c>
      <c r="B28">
        <v>9</v>
      </c>
      <c r="C28" t="s">
        <v>57</v>
      </c>
      <c r="D28" s="16" t="s">
        <v>145</v>
      </c>
      <c r="E28" s="16" t="s">
        <v>134</v>
      </c>
      <c r="F28">
        <v>3.71</v>
      </c>
      <c r="G28" t="s">
        <v>44</v>
      </c>
      <c r="H28">
        <v>0</v>
      </c>
      <c r="I28">
        <v>8.75</v>
      </c>
      <c r="L28">
        <f>Constants!$B$2</f>
        <v>2.8</v>
      </c>
      <c r="M28" t="str">
        <f t="shared" si="0"/>
        <v>N/A</v>
      </c>
      <c r="N28">
        <f>P28*Constants!$E$2</f>
        <v>0</v>
      </c>
      <c r="P28">
        <f t="shared" si="6"/>
        <v>0</v>
      </c>
      <c r="Q28">
        <f>P28*Constants!$B$3</f>
        <v>0</v>
      </c>
      <c r="R28">
        <f t="shared" si="2"/>
        <v>0</v>
      </c>
      <c r="S28">
        <f t="shared" si="3"/>
        <v>8.75</v>
      </c>
      <c r="T28">
        <f>S28*Constants!$B$2</f>
        <v>24.5</v>
      </c>
      <c r="V28">
        <f t="shared" si="7"/>
        <v>0</v>
      </c>
      <c r="W28">
        <f t="shared" si="8"/>
        <v>0</v>
      </c>
      <c r="AA28" s="8"/>
      <c r="AJ28" s="4"/>
    </row>
    <row r="29" spans="1:36" x14ac:dyDescent="0.25">
      <c r="A29">
        <v>28</v>
      </c>
      <c r="B29">
        <v>9</v>
      </c>
      <c r="C29" t="s">
        <v>62</v>
      </c>
      <c r="D29" s="16" t="s">
        <v>135</v>
      </c>
      <c r="F29">
        <v>20.95</v>
      </c>
      <c r="G29" t="s">
        <v>44</v>
      </c>
      <c r="H29">
        <v>0</v>
      </c>
      <c r="I29">
        <v>24.8</v>
      </c>
      <c r="L29">
        <f>Constants!$B$2</f>
        <v>2.8</v>
      </c>
      <c r="M29" t="str">
        <f t="shared" si="0"/>
        <v>N/A</v>
      </c>
      <c r="N29">
        <f>P29*Constants!$E$2</f>
        <v>0</v>
      </c>
      <c r="P29">
        <f t="shared" si="6"/>
        <v>0</v>
      </c>
      <c r="Q29">
        <f>P29*Constants!$B$3</f>
        <v>0</v>
      </c>
      <c r="R29">
        <f t="shared" si="2"/>
        <v>0</v>
      </c>
      <c r="S29">
        <f t="shared" si="3"/>
        <v>24.8</v>
      </c>
      <c r="T29">
        <f>S29*Constants!$B$2</f>
        <v>69.44</v>
      </c>
      <c r="V29">
        <f t="shared" si="7"/>
        <v>0</v>
      </c>
      <c r="W29">
        <f t="shared" si="8"/>
        <v>0</v>
      </c>
      <c r="AA29" s="8"/>
      <c r="AJ29" s="4"/>
    </row>
    <row r="30" spans="1:36" x14ac:dyDescent="0.25">
      <c r="A30">
        <v>29</v>
      </c>
      <c r="B30">
        <v>9</v>
      </c>
      <c r="C30" t="s">
        <v>59</v>
      </c>
      <c r="D30" s="16" t="s">
        <v>136</v>
      </c>
      <c r="F30">
        <v>15.93</v>
      </c>
      <c r="G30">
        <v>270</v>
      </c>
      <c r="H30">
        <v>4.8</v>
      </c>
      <c r="I30">
        <v>17.850000000000001</v>
      </c>
      <c r="L30">
        <f>Constants!$B$2</f>
        <v>2.8</v>
      </c>
      <c r="M30">
        <f t="shared" si="0"/>
        <v>270</v>
      </c>
      <c r="N30">
        <f>P30*Constants!$E$2</f>
        <v>8.16</v>
      </c>
      <c r="P30">
        <f t="shared" si="6"/>
        <v>4.8</v>
      </c>
      <c r="Q30">
        <f>P30*Constants!$B$3</f>
        <v>20.159999999999997</v>
      </c>
      <c r="R30">
        <f t="shared" si="2"/>
        <v>11.999999999999996</v>
      </c>
      <c r="S30">
        <f t="shared" si="3"/>
        <v>13.05</v>
      </c>
      <c r="T30">
        <f>S30*Constants!$B$2</f>
        <v>36.54</v>
      </c>
      <c r="V30">
        <f t="shared" si="7"/>
        <v>0</v>
      </c>
      <c r="W30">
        <f t="shared" si="8"/>
        <v>0</v>
      </c>
      <c r="AA30" s="8"/>
      <c r="AJ30" s="4"/>
    </row>
    <row r="31" spans="1:36" x14ac:dyDescent="0.25">
      <c r="A31">
        <v>30</v>
      </c>
      <c r="B31">
        <v>9</v>
      </c>
      <c r="C31" t="s">
        <v>50</v>
      </c>
      <c r="D31" s="16" t="s">
        <v>137</v>
      </c>
      <c r="F31">
        <v>12.39</v>
      </c>
      <c r="G31">
        <v>270</v>
      </c>
      <c r="H31">
        <v>3.6</v>
      </c>
      <c r="I31">
        <v>14.65</v>
      </c>
      <c r="L31">
        <f>Constants!$B$2</f>
        <v>2.8</v>
      </c>
      <c r="M31">
        <f t="shared" si="0"/>
        <v>270</v>
      </c>
      <c r="N31">
        <f>P31*Constants!$E$2</f>
        <v>6.12</v>
      </c>
      <c r="P31">
        <f t="shared" si="6"/>
        <v>3.6</v>
      </c>
      <c r="Q31">
        <f>P31*Constants!$B$3</f>
        <v>15.119999999999997</v>
      </c>
      <c r="R31">
        <f t="shared" si="2"/>
        <v>8.9999999999999964</v>
      </c>
      <c r="S31">
        <f t="shared" si="3"/>
        <v>11.05</v>
      </c>
      <c r="T31">
        <f>S31*Constants!$B$2</f>
        <v>30.94</v>
      </c>
      <c r="V31">
        <f t="shared" si="7"/>
        <v>0</v>
      </c>
      <c r="W31">
        <f t="shared" si="8"/>
        <v>0</v>
      </c>
      <c r="AA31" s="8"/>
      <c r="AJ31" s="4"/>
    </row>
    <row r="32" spans="1:36" x14ac:dyDescent="0.25">
      <c r="A32">
        <v>31</v>
      </c>
      <c r="B32">
        <v>9</v>
      </c>
      <c r="C32" t="s">
        <v>49</v>
      </c>
      <c r="D32" s="16" t="s">
        <v>138</v>
      </c>
      <c r="F32">
        <v>20.98</v>
      </c>
      <c r="G32">
        <v>270</v>
      </c>
      <c r="H32">
        <v>3.6</v>
      </c>
      <c r="I32">
        <v>21.76</v>
      </c>
      <c r="L32">
        <f>Constants!$B$2</f>
        <v>2.8</v>
      </c>
      <c r="M32">
        <f t="shared" si="0"/>
        <v>270</v>
      </c>
      <c r="N32">
        <f>P32*Constants!$E$2</f>
        <v>6.12</v>
      </c>
      <c r="P32">
        <f t="shared" si="6"/>
        <v>3.6</v>
      </c>
      <c r="Q32">
        <f>P32*Constants!$B$3</f>
        <v>15.119999999999997</v>
      </c>
      <c r="R32">
        <f t="shared" si="2"/>
        <v>8.9999999999999964</v>
      </c>
      <c r="S32">
        <f t="shared" si="3"/>
        <v>18.16</v>
      </c>
      <c r="T32">
        <f>S32*Constants!$B$2</f>
        <v>50.847999999999999</v>
      </c>
      <c r="V32">
        <f t="shared" si="7"/>
        <v>0</v>
      </c>
      <c r="W32">
        <f t="shared" si="8"/>
        <v>0</v>
      </c>
      <c r="AA32" s="8"/>
      <c r="AJ32" s="4"/>
    </row>
    <row r="33" spans="1:36" x14ac:dyDescent="0.25">
      <c r="A33">
        <v>32</v>
      </c>
      <c r="B33">
        <v>9</v>
      </c>
      <c r="C33" t="s">
        <v>57</v>
      </c>
      <c r="D33" s="16" t="s">
        <v>154</v>
      </c>
      <c r="E33" s="16" t="s">
        <v>138</v>
      </c>
      <c r="F33">
        <v>3.71</v>
      </c>
      <c r="G33" t="s">
        <v>44</v>
      </c>
      <c r="H33">
        <v>0</v>
      </c>
      <c r="I33">
        <v>8.5500000000000007</v>
      </c>
      <c r="L33">
        <f>Constants!$B$2</f>
        <v>2.8</v>
      </c>
      <c r="M33" t="str">
        <f t="shared" si="0"/>
        <v>N/A</v>
      </c>
      <c r="N33">
        <f>P33*Constants!$E$2</f>
        <v>0</v>
      </c>
      <c r="P33">
        <f t="shared" si="6"/>
        <v>0</v>
      </c>
      <c r="Q33">
        <f>P33*Constants!$B$3</f>
        <v>0</v>
      </c>
      <c r="R33">
        <f t="shared" si="2"/>
        <v>0</v>
      </c>
      <c r="S33">
        <f t="shared" si="3"/>
        <v>8.5500000000000007</v>
      </c>
      <c r="T33">
        <f>S33*Constants!$B$2</f>
        <v>23.94</v>
      </c>
      <c r="V33">
        <f t="shared" si="7"/>
        <v>0</v>
      </c>
      <c r="W33">
        <f t="shared" si="8"/>
        <v>0</v>
      </c>
      <c r="AA33" s="8"/>
      <c r="AJ33" s="4"/>
    </row>
    <row r="34" spans="1:36" x14ac:dyDescent="0.25">
      <c r="A34">
        <v>33</v>
      </c>
      <c r="B34">
        <v>9</v>
      </c>
      <c r="C34" t="s">
        <v>49</v>
      </c>
      <c r="D34" s="16" t="s">
        <v>139</v>
      </c>
      <c r="F34">
        <v>20.98</v>
      </c>
      <c r="G34">
        <v>270</v>
      </c>
      <c r="H34">
        <v>3.6</v>
      </c>
      <c r="I34">
        <v>21.76</v>
      </c>
      <c r="L34">
        <f>Constants!$B$2</f>
        <v>2.8</v>
      </c>
      <c r="M34">
        <f t="shared" si="0"/>
        <v>270</v>
      </c>
      <c r="N34">
        <f>P34*Constants!$E$2</f>
        <v>6.12</v>
      </c>
      <c r="P34">
        <f t="shared" si="6"/>
        <v>3.6</v>
      </c>
      <c r="Q34">
        <f>P34*Constants!$B$3</f>
        <v>15.119999999999997</v>
      </c>
      <c r="R34">
        <f t="shared" si="2"/>
        <v>8.9999999999999964</v>
      </c>
      <c r="S34">
        <f t="shared" si="3"/>
        <v>18.16</v>
      </c>
      <c r="T34">
        <f>S34*Constants!$B$2</f>
        <v>50.847999999999999</v>
      </c>
      <c r="V34">
        <f t="shared" si="7"/>
        <v>0</v>
      </c>
      <c r="W34">
        <f t="shared" si="8"/>
        <v>0</v>
      </c>
      <c r="AA34" s="8"/>
      <c r="AJ34" s="4"/>
    </row>
    <row r="35" spans="1:36" x14ac:dyDescent="0.25">
      <c r="A35">
        <v>34</v>
      </c>
      <c r="B35">
        <v>9</v>
      </c>
      <c r="C35" t="s">
        <v>57</v>
      </c>
      <c r="D35" s="16" t="s">
        <v>140</v>
      </c>
      <c r="E35" s="16" t="s">
        <v>139</v>
      </c>
      <c r="F35">
        <v>3.71</v>
      </c>
      <c r="G35" t="s">
        <v>44</v>
      </c>
      <c r="H35">
        <v>0</v>
      </c>
      <c r="I35">
        <v>8.5500000000000007</v>
      </c>
      <c r="L35">
        <f>Constants!$B$2</f>
        <v>2.8</v>
      </c>
      <c r="M35" t="str">
        <f t="shared" si="0"/>
        <v>N/A</v>
      </c>
      <c r="N35">
        <f>P35*Constants!$E$2</f>
        <v>0</v>
      </c>
      <c r="P35">
        <f t="shared" si="6"/>
        <v>0</v>
      </c>
      <c r="Q35">
        <f>P35*Constants!$B$3</f>
        <v>0</v>
      </c>
      <c r="R35">
        <f t="shared" si="2"/>
        <v>0</v>
      </c>
      <c r="S35">
        <f t="shared" si="3"/>
        <v>8.5500000000000007</v>
      </c>
      <c r="T35">
        <f>S35*Constants!$B$2</f>
        <v>23.94</v>
      </c>
      <c r="V35">
        <f t="shared" si="7"/>
        <v>0</v>
      </c>
      <c r="W35">
        <f t="shared" si="8"/>
        <v>0</v>
      </c>
      <c r="AA35" s="8"/>
      <c r="AJ35" s="4"/>
    </row>
    <row r="36" spans="1:36" x14ac:dyDescent="0.25">
      <c r="A36">
        <v>35</v>
      </c>
      <c r="B36">
        <v>9</v>
      </c>
      <c r="C36" t="s">
        <v>49</v>
      </c>
      <c r="D36" s="16" t="s">
        <v>141</v>
      </c>
      <c r="F36">
        <v>20.61</v>
      </c>
      <c r="G36">
        <v>270</v>
      </c>
      <c r="H36">
        <v>3.6</v>
      </c>
      <c r="I36">
        <v>21.66</v>
      </c>
      <c r="L36">
        <f>Constants!$B$2</f>
        <v>2.8</v>
      </c>
      <c r="M36">
        <f t="shared" si="0"/>
        <v>270</v>
      </c>
      <c r="N36">
        <f>P36*Constants!$E$2</f>
        <v>6.12</v>
      </c>
      <c r="P36">
        <f t="shared" si="6"/>
        <v>3.6</v>
      </c>
      <c r="Q36">
        <f>P36*Constants!$B$3</f>
        <v>15.119999999999997</v>
      </c>
      <c r="R36">
        <f t="shared" si="2"/>
        <v>8.9999999999999964</v>
      </c>
      <c r="S36">
        <f t="shared" si="3"/>
        <v>18.059999999999999</v>
      </c>
      <c r="T36">
        <f>S36*Constants!$B$2</f>
        <v>50.567999999999991</v>
      </c>
      <c r="V36">
        <f t="shared" si="7"/>
        <v>0</v>
      </c>
      <c r="W36">
        <f t="shared" si="8"/>
        <v>0</v>
      </c>
      <c r="AA36" s="8"/>
      <c r="AJ36" s="4"/>
    </row>
    <row r="37" spans="1:36" x14ac:dyDescent="0.25">
      <c r="A37">
        <v>36</v>
      </c>
      <c r="B37">
        <v>9</v>
      </c>
      <c r="C37" t="s">
        <v>57</v>
      </c>
      <c r="D37" s="16" t="s">
        <v>142</v>
      </c>
      <c r="E37" s="16" t="s">
        <v>141</v>
      </c>
      <c r="F37">
        <v>3.71</v>
      </c>
      <c r="G37" t="s">
        <v>44</v>
      </c>
      <c r="H37">
        <v>0</v>
      </c>
      <c r="I37">
        <v>8.5500000000000007</v>
      </c>
      <c r="L37">
        <f>Constants!$B$2</f>
        <v>2.8</v>
      </c>
      <c r="M37" t="str">
        <f t="shared" si="0"/>
        <v>N/A</v>
      </c>
      <c r="N37">
        <f>P37*Constants!$E$2</f>
        <v>0</v>
      </c>
      <c r="P37">
        <f t="shared" si="6"/>
        <v>0</v>
      </c>
      <c r="Q37">
        <f>P37*Constants!$B$3</f>
        <v>0</v>
      </c>
      <c r="R37">
        <f t="shared" si="2"/>
        <v>0</v>
      </c>
      <c r="S37">
        <f t="shared" si="3"/>
        <v>8.5500000000000007</v>
      </c>
      <c r="T37">
        <f>S37*Constants!$B$2</f>
        <v>23.94</v>
      </c>
      <c r="V37">
        <f t="shared" si="7"/>
        <v>0</v>
      </c>
      <c r="W37">
        <f t="shared" si="8"/>
        <v>0</v>
      </c>
      <c r="AA37" s="8"/>
      <c r="AJ37" s="4"/>
    </row>
    <row r="38" spans="1:36" x14ac:dyDescent="0.25">
      <c r="A38">
        <v>37</v>
      </c>
      <c r="B38">
        <v>9</v>
      </c>
      <c r="C38" t="s">
        <v>45</v>
      </c>
      <c r="D38" s="16" t="s">
        <v>143</v>
      </c>
      <c r="F38">
        <v>15.41</v>
      </c>
      <c r="G38" t="s">
        <v>44</v>
      </c>
      <c r="H38">
        <v>0</v>
      </c>
      <c r="I38">
        <v>15.9</v>
      </c>
      <c r="L38">
        <f>Constants!$B$2</f>
        <v>2.8</v>
      </c>
      <c r="M38" t="str">
        <f t="shared" si="0"/>
        <v>N/A</v>
      </c>
      <c r="N38">
        <f>P38*Constants!$E$2</f>
        <v>0</v>
      </c>
      <c r="P38">
        <f t="shared" si="6"/>
        <v>0</v>
      </c>
      <c r="Q38">
        <f>P38*Constants!$B$3</f>
        <v>0</v>
      </c>
      <c r="R38">
        <f t="shared" si="2"/>
        <v>0</v>
      </c>
      <c r="S38">
        <f t="shared" si="3"/>
        <v>15.9</v>
      </c>
      <c r="T38">
        <f>S38*Constants!$B$2</f>
        <v>44.519999999999996</v>
      </c>
      <c r="V38">
        <f t="shared" si="7"/>
        <v>0</v>
      </c>
      <c r="W38">
        <f t="shared" si="8"/>
        <v>0</v>
      </c>
      <c r="AA38" s="8"/>
      <c r="AJ38" s="4"/>
    </row>
    <row r="39" spans="1:36" x14ac:dyDescent="0.25">
      <c r="A39">
        <v>38</v>
      </c>
      <c r="B39">
        <v>9</v>
      </c>
      <c r="C39" t="s">
        <v>62</v>
      </c>
      <c r="D39" s="16" t="s">
        <v>918</v>
      </c>
      <c r="F39">
        <v>20.76</v>
      </c>
      <c r="G39">
        <v>90</v>
      </c>
      <c r="H39">
        <v>3.2</v>
      </c>
      <c r="I39">
        <f>2*(5.3+3.2)</f>
        <v>17</v>
      </c>
      <c r="L39">
        <f>Constants!$B$2</f>
        <v>2.8</v>
      </c>
      <c r="M39">
        <f t="shared" si="0"/>
        <v>90</v>
      </c>
      <c r="N39">
        <f>P39*Constants!$E$2</f>
        <v>5.44</v>
      </c>
      <c r="P39">
        <f t="shared" si="6"/>
        <v>3.2</v>
      </c>
      <c r="Q39">
        <f>P39*Constants!$B$3</f>
        <v>13.439999999999998</v>
      </c>
      <c r="R39">
        <f t="shared" si="2"/>
        <v>7.9999999999999973</v>
      </c>
      <c r="S39">
        <f t="shared" si="3"/>
        <v>13.8</v>
      </c>
      <c r="T39">
        <f>S39*Constants!$B$2</f>
        <v>38.64</v>
      </c>
      <c r="V39">
        <f t="shared" si="7"/>
        <v>0</v>
      </c>
      <c r="W39">
        <f t="shared" si="8"/>
        <v>0</v>
      </c>
      <c r="AA39" s="8"/>
      <c r="AJ39" s="4"/>
    </row>
    <row r="40" spans="1:36" x14ac:dyDescent="0.25">
      <c r="A40">
        <v>39</v>
      </c>
      <c r="B40">
        <v>9</v>
      </c>
      <c r="C40" t="s">
        <v>64</v>
      </c>
      <c r="D40" s="16" t="s">
        <v>920</v>
      </c>
      <c r="F40">
        <v>3.72</v>
      </c>
      <c r="G40">
        <v>90</v>
      </c>
      <c r="H40">
        <v>1.2</v>
      </c>
      <c r="I40">
        <f>2*(1.2+2.9)</f>
        <v>8.1999999999999993</v>
      </c>
      <c r="L40">
        <f>Constants!$B$2</f>
        <v>2.8</v>
      </c>
      <c r="M40">
        <f t="shared" si="0"/>
        <v>90</v>
      </c>
      <c r="N40">
        <f>P40*Constants!$E$2</f>
        <v>2.04</v>
      </c>
      <c r="P40">
        <f t="shared" si="6"/>
        <v>1.2</v>
      </c>
      <c r="Q40">
        <f>P40*Constants!$B$3</f>
        <v>5.0399999999999991</v>
      </c>
      <c r="R40">
        <f t="shared" si="2"/>
        <v>2.9999999999999991</v>
      </c>
      <c r="S40">
        <f t="shared" si="3"/>
        <v>6.9999999999999991</v>
      </c>
      <c r="T40">
        <f>S40*Constants!$B$2</f>
        <v>19.599999999999998</v>
      </c>
      <c r="V40">
        <f t="shared" si="7"/>
        <v>0</v>
      </c>
      <c r="W40">
        <f t="shared" si="8"/>
        <v>0</v>
      </c>
      <c r="AA40" s="8"/>
      <c r="AJ40" s="4"/>
    </row>
    <row r="41" spans="1:36" x14ac:dyDescent="0.25">
      <c r="A41">
        <v>40</v>
      </c>
      <c r="B41">
        <v>9</v>
      </c>
      <c r="C41" t="s">
        <v>64</v>
      </c>
      <c r="D41" s="16" t="s">
        <v>919</v>
      </c>
      <c r="F41">
        <v>3.72</v>
      </c>
      <c r="G41">
        <v>90</v>
      </c>
      <c r="H41">
        <v>1.2</v>
      </c>
      <c r="I41">
        <f>2*(1.2+2.9)</f>
        <v>8.1999999999999993</v>
      </c>
      <c r="L41">
        <f>Constants!$B$2</f>
        <v>2.8</v>
      </c>
      <c r="M41">
        <f t="shared" si="0"/>
        <v>90</v>
      </c>
      <c r="N41">
        <f>P41*Constants!$E$2</f>
        <v>2.04</v>
      </c>
      <c r="P41">
        <f t="shared" si="6"/>
        <v>1.2</v>
      </c>
      <c r="Q41">
        <f>P41*Constants!$B$3</f>
        <v>5.0399999999999991</v>
      </c>
      <c r="R41">
        <f t="shared" si="2"/>
        <v>2.9999999999999991</v>
      </c>
      <c r="S41">
        <f t="shared" si="3"/>
        <v>6.9999999999999991</v>
      </c>
      <c r="T41">
        <f>S41*Constants!$B$2</f>
        <v>19.599999999999998</v>
      </c>
      <c r="V41">
        <f t="shared" si="7"/>
        <v>0</v>
      </c>
      <c r="W41">
        <f t="shared" si="8"/>
        <v>0</v>
      </c>
      <c r="AA41" s="8"/>
      <c r="AJ41" s="4"/>
    </row>
    <row r="42" spans="1:36" x14ac:dyDescent="0.25">
      <c r="A42">
        <v>41</v>
      </c>
      <c r="B42">
        <v>9</v>
      </c>
      <c r="C42" t="s">
        <v>62</v>
      </c>
      <c r="D42" s="16" t="s">
        <v>144</v>
      </c>
      <c r="F42">
        <v>19.96</v>
      </c>
      <c r="G42" t="s">
        <v>44</v>
      </c>
      <c r="H42">
        <v>0</v>
      </c>
      <c r="I42">
        <v>98.79</v>
      </c>
      <c r="L42">
        <f>Constants!$B$2</f>
        <v>2.8</v>
      </c>
      <c r="M42" t="str">
        <f t="shared" si="0"/>
        <v>N/A</v>
      </c>
      <c r="N42">
        <f>P42*Constants!$E$2</f>
        <v>0</v>
      </c>
      <c r="P42">
        <f t="shared" si="6"/>
        <v>0</v>
      </c>
      <c r="Q42">
        <f>P42*Constants!$B$3</f>
        <v>0</v>
      </c>
      <c r="R42">
        <f t="shared" si="2"/>
        <v>0</v>
      </c>
      <c r="S42">
        <f t="shared" si="3"/>
        <v>98.79</v>
      </c>
      <c r="T42">
        <f>S42*Constants!$B$2</f>
        <v>276.61200000000002</v>
      </c>
      <c r="V42">
        <f t="shared" si="7"/>
        <v>0</v>
      </c>
      <c r="W42">
        <f t="shared" si="8"/>
        <v>0</v>
      </c>
      <c r="AA42" s="8"/>
      <c r="AJ42" s="4"/>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4"/>
    </row>
    <row r="453" spans="4:4" x14ac:dyDescent="0.25">
      <c r="D453" s="14"/>
    </row>
    <row r="454" spans="4:4" x14ac:dyDescent="0.25">
      <c r="D454" s="13"/>
    </row>
    <row r="455" spans="4:4" x14ac:dyDescent="0.25">
      <c r="D455" s="13"/>
    </row>
    <row r="456" spans="4:4" x14ac:dyDescent="0.25">
      <c r="D456" s="13"/>
    </row>
    <row r="457" spans="4:4" x14ac:dyDescent="0.25">
      <c r="D457" s="13"/>
    </row>
    <row r="458" spans="4:4" x14ac:dyDescent="0.25">
      <c r="D458" s="13"/>
    </row>
    <row r="459" spans="4:4" x14ac:dyDescent="0.25">
      <c r="D459" s="13"/>
    </row>
    <row r="460" spans="4:4" x14ac:dyDescent="0.25">
      <c r="D460" s="13"/>
    </row>
    <row r="461" spans="4:4" x14ac:dyDescent="0.25">
      <c r="D461" s="13"/>
    </row>
  </sheetData>
  <pageMargins left="0.7" right="0.7" top="0.78740157499999996" bottom="0.78740157499999996"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8"/>
  <sheetViews>
    <sheetView zoomScaleNormal="100" workbookViewId="0">
      <pane xSplit="4" ySplit="1" topLeftCell="F23" activePane="bottomRight" state="frozen"/>
      <selection pane="topRight" activeCell="F1" sqref="F1"/>
      <selection pane="bottomLeft" activeCell="A2" sqref="A2"/>
      <selection pane="bottomRight" activeCell="D39" sqref="D39"/>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54</v>
      </c>
      <c r="D2" s="16" t="s">
        <v>175</v>
      </c>
      <c r="F2">
        <v>13.25</v>
      </c>
      <c r="G2" t="s">
        <v>44</v>
      </c>
      <c r="H2">
        <v>0</v>
      </c>
      <c r="I2">
        <f>2*1.2*(4+2.5)</f>
        <v>15.6</v>
      </c>
      <c r="L2">
        <f>Constants!$B$2</f>
        <v>2.8</v>
      </c>
      <c r="M2" t="str">
        <f t="shared" ref="M2:M40" si="0">IF(N2&gt;0,G2,"N/A")</f>
        <v>N/A</v>
      </c>
      <c r="N2">
        <f>P2*Constants!$E$2</f>
        <v>0</v>
      </c>
      <c r="P2">
        <f>H2</f>
        <v>0</v>
      </c>
      <c r="Q2">
        <f>P2*Constants!$B$3</f>
        <v>0</v>
      </c>
      <c r="R2">
        <f>IF(Q2-N2&lt;=0, 0, Q2-N2)</f>
        <v>0</v>
      </c>
      <c r="S2">
        <f>I2-P2</f>
        <v>15.6</v>
      </c>
      <c r="T2">
        <f>S2*Constants!$B$2</f>
        <v>43.68</v>
      </c>
      <c r="V2">
        <f>IF(B2="E",1,0)</f>
        <v>0</v>
      </c>
      <c r="W2">
        <f>IF(B2=10,1,0)</f>
        <v>0</v>
      </c>
      <c r="AA2" s="8"/>
      <c r="AJ2" s="4"/>
    </row>
    <row r="3" spans="1:40" x14ac:dyDescent="0.25">
      <c r="A3">
        <v>2</v>
      </c>
      <c r="B3">
        <v>9</v>
      </c>
      <c r="C3" s="17" t="s">
        <v>917</v>
      </c>
      <c r="D3" s="16" t="s">
        <v>176</v>
      </c>
      <c r="F3">
        <v>24.76</v>
      </c>
      <c r="G3">
        <v>90</v>
      </c>
      <c r="H3">
        <v>3</v>
      </c>
      <c r="I3">
        <f>21.66</f>
        <v>21.66</v>
      </c>
      <c r="L3">
        <f>Constants!$B$2</f>
        <v>2.8</v>
      </c>
      <c r="M3">
        <f t="shared" si="0"/>
        <v>90</v>
      </c>
      <c r="N3">
        <f>P3*Constants!$E$2</f>
        <v>5.0999999999999996</v>
      </c>
      <c r="P3">
        <f t="shared" ref="P3:P39" si="1">H3</f>
        <v>3</v>
      </c>
      <c r="Q3">
        <f>P3*Constants!$B$3</f>
        <v>12.599999999999998</v>
      </c>
      <c r="R3">
        <f t="shared" ref="R3:R39" si="2">IF(Q3-N3&lt;=0, 0, Q3-N3)</f>
        <v>7.4999999999999982</v>
      </c>
      <c r="S3">
        <f t="shared" ref="S3:S39" si="3">I3-P3</f>
        <v>18.66</v>
      </c>
      <c r="T3">
        <f>S3*Constants!$B$2</f>
        <v>52.247999999999998</v>
      </c>
      <c r="V3">
        <f t="shared" ref="V3:V39" si="4">IF(B3="E",1,0)</f>
        <v>0</v>
      </c>
      <c r="W3">
        <f t="shared" ref="W3:W39" si="5">IF(B3=10,1,0)</f>
        <v>0</v>
      </c>
      <c r="AA3" s="8"/>
      <c r="AJ3" s="4"/>
    </row>
    <row r="4" spans="1:40" x14ac:dyDescent="0.25">
      <c r="A4">
        <v>3</v>
      </c>
      <c r="B4">
        <v>9</v>
      </c>
      <c r="C4" t="s">
        <v>57</v>
      </c>
      <c r="D4" s="16" t="s">
        <v>177</v>
      </c>
      <c r="E4" s="16" t="s">
        <v>176</v>
      </c>
      <c r="F4">
        <v>2.4</v>
      </c>
      <c r="G4" t="s">
        <v>44</v>
      </c>
      <c r="H4">
        <v>0</v>
      </c>
      <c r="I4">
        <v>6.55</v>
      </c>
      <c r="L4">
        <f>Constants!$B$2</f>
        <v>2.8</v>
      </c>
      <c r="M4" t="str">
        <f t="shared" ref="M4" si="6">IF(N4&gt;0,G4,"N/A")</f>
        <v>N/A</v>
      </c>
      <c r="N4">
        <f>P4*Constants!$E$2</f>
        <v>0</v>
      </c>
      <c r="P4">
        <f>H4</f>
        <v>0</v>
      </c>
      <c r="Q4">
        <f>P4*Constants!$B$3</f>
        <v>0</v>
      </c>
      <c r="R4">
        <f>IF(Q4-N4&lt;=0, 0, Q4-N4)</f>
        <v>0</v>
      </c>
      <c r="S4">
        <f>I4-P4</f>
        <v>6.55</v>
      </c>
      <c r="T4">
        <f>S4*Constants!$B$2</f>
        <v>18.34</v>
      </c>
      <c r="V4">
        <f>IF(B4="E",1,0)</f>
        <v>0</v>
      </c>
      <c r="W4">
        <f>IF(B4=10,1,0)</f>
        <v>0</v>
      </c>
      <c r="AA4" s="8"/>
      <c r="AJ4" s="4"/>
    </row>
    <row r="5" spans="1:40" x14ac:dyDescent="0.25">
      <c r="A5">
        <v>4</v>
      </c>
      <c r="B5">
        <v>9</v>
      </c>
      <c r="C5" t="s">
        <v>917</v>
      </c>
      <c r="D5" s="16" t="s">
        <v>178</v>
      </c>
      <c r="F5">
        <v>24.58</v>
      </c>
      <c r="G5">
        <v>90</v>
      </c>
      <c r="H5">
        <v>3.6</v>
      </c>
      <c r="I5">
        <f t="shared" ref="I5" si="7">21.66</f>
        <v>21.66</v>
      </c>
      <c r="L5">
        <f>Constants!$B$2</f>
        <v>2.8</v>
      </c>
      <c r="M5">
        <f t="shared" si="0"/>
        <v>90</v>
      </c>
      <c r="N5">
        <f>P5*Constants!$E$2</f>
        <v>6.12</v>
      </c>
      <c r="P5">
        <f t="shared" si="1"/>
        <v>3.6</v>
      </c>
      <c r="Q5">
        <f>P5*Constants!$B$3</f>
        <v>15.119999999999997</v>
      </c>
      <c r="R5">
        <f t="shared" si="2"/>
        <v>8.9999999999999964</v>
      </c>
      <c r="S5">
        <f t="shared" si="3"/>
        <v>18.059999999999999</v>
      </c>
      <c r="T5">
        <f>S5*Constants!$B$2</f>
        <v>50.567999999999991</v>
      </c>
      <c r="V5">
        <f t="shared" si="4"/>
        <v>0</v>
      </c>
      <c r="W5">
        <f t="shared" si="5"/>
        <v>0</v>
      </c>
      <c r="AA5" s="8"/>
      <c r="AJ5" s="4"/>
    </row>
    <row r="6" spans="1:40" x14ac:dyDescent="0.25">
      <c r="A6">
        <v>5</v>
      </c>
      <c r="B6">
        <v>9</v>
      </c>
      <c r="C6" t="s">
        <v>57</v>
      </c>
      <c r="D6" s="16" t="s">
        <v>179</v>
      </c>
      <c r="E6" s="16" t="s">
        <v>178</v>
      </c>
      <c r="F6">
        <v>2.4</v>
      </c>
      <c r="G6" t="s">
        <v>44</v>
      </c>
      <c r="H6">
        <v>0</v>
      </c>
      <c r="I6">
        <v>6.55</v>
      </c>
      <c r="L6">
        <f>Constants!$B$2</f>
        <v>2.8</v>
      </c>
      <c r="M6" t="str">
        <f t="shared" si="0"/>
        <v>N/A</v>
      </c>
      <c r="N6">
        <f>P6*Constants!$E$2</f>
        <v>0</v>
      </c>
      <c r="P6">
        <f>H6</f>
        <v>0</v>
      </c>
      <c r="Q6">
        <f>P6*Constants!$B$3</f>
        <v>0</v>
      </c>
      <c r="R6">
        <f>IF(Q6-N6&lt;=0, 0, Q6-N6)</f>
        <v>0</v>
      </c>
      <c r="S6">
        <f>I6-P6</f>
        <v>6.55</v>
      </c>
      <c r="T6">
        <f>S6*Constants!$B$2</f>
        <v>18.34</v>
      </c>
      <c r="V6">
        <f>IF(B6="E",1,0)</f>
        <v>0</v>
      </c>
      <c r="W6">
        <f>IF(B6=10,1,0)</f>
        <v>0</v>
      </c>
      <c r="AA6" s="8"/>
      <c r="AJ6" s="4"/>
    </row>
    <row r="7" spans="1:40" x14ac:dyDescent="0.25">
      <c r="A7">
        <v>6</v>
      </c>
      <c r="B7">
        <v>9</v>
      </c>
      <c r="C7" t="s">
        <v>73</v>
      </c>
      <c r="D7" s="16" t="s">
        <v>180</v>
      </c>
      <c r="F7">
        <v>13.44</v>
      </c>
      <c r="G7">
        <v>90</v>
      </c>
      <c r="H7">
        <v>6</v>
      </c>
      <c r="I7">
        <f>2*1.2*(5+2)</f>
        <v>16.8</v>
      </c>
      <c r="L7">
        <f>Constants!$B$2</f>
        <v>2.8</v>
      </c>
      <c r="M7">
        <f t="shared" si="0"/>
        <v>90</v>
      </c>
      <c r="N7">
        <f>P7*Constants!$E$2</f>
        <v>10.199999999999999</v>
      </c>
      <c r="P7">
        <f t="shared" si="1"/>
        <v>6</v>
      </c>
      <c r="Q7">
        <f>P7*Constants!$B$3</f>
        <v>25.199999999999996</v>
      </c>
      <c r="R7">
        <f t="shared" si="2"/>
        <v>14.999999999999996</v>
      </c>
      <c r="S7">
        <f t="shared" si="3"/>
        <v>10.8</v>
      </c>
      <c r="T7">
        <f>S7*Constants!$B$2</f>
        <v>30.24</v>
      </c>
      <c r="V7">
        <f t="shared" si="4"/>
        <v>0</v>
      </c>
      <c r="W7">
        <f t="shared" si="5"/>
        <v>0</v>
      </c>
      <c r="AA7" s="8"/>
      <c r="AJ7" s="4"/>
    </row>
    <row r="8" spans="1:40" x14ac:dyDescent="0.25">
      <c r="A8">
        <v>7</v>
      </c>
      <c r="B8">
        <v>9</v>
      </c>
      <c r="C8" t="s">
        <v>62</v>
      </c>
      <c r="D8" s="16" t="s">
        <v>181</v>
      </c>
      <c r="F8">
        <v>92.24</v>
      </c>
      <c r="G8" t="s">
        <v>44</v>
      </c>
      <c r="H8">
        <v>0</v>
      </c>
      <c r="I8">
        <v>93.59</v>
      </c>
      <c r="L8">
        <f>Constants!$B$2</f>
        <v>2.8</v>
      </c>
      <c r="M8" t="str">
        <f t="shared" ref="M8" si="8">IF(N8&gt;0,G8,"N/A")</f>
        <v>N/A</v>
      </c>
      <c r="N8">
        <f>P8*Constants!$E$2</f>
        <v>0</v>
      </c>
      <c r="P8">
        <f t="shared" si="1"/>
        <v>0</v>
      </c>
      <c r="Q8">
        <f>P8*Constants!$B$3</f>
        <v>0</v>
      </c>
      <c r="R8">
        <f t="shared" si="2"/>
        <v>0</v>
      </c>
      <c r="S8">
        <f t="shared" si="3"/>
        <v>93.59</v>
      </c>
      <c r="T8">
        <f>S8*Constants!$B$2</f>
        <v>262.05200000000002</v>
      </c>
      <c r="V8">
        <f t="shared" ref="V8" si="9">IF(B8="E",1,0)</f>
        <v>0</v>
      </c>
      <c r="W8">
        <f t="shared" ref="W8" si="10">IF(B8=10,1,0)</f>
        <v>0</v>
      </c>
      <c r="AA8" s="8"/>
      <c r="AJ8" s="4"/>
    </row>
    <row r="9" spans="1:40" x14ac:dyDescent="0.25">
      <c r="A9">
        <v>8</v>
      </c>
      <c r="B9">
        <v>9</v>
      </c>
      <c r="C9" t="s">
        <v>182</v>
      </c>
      <c r="D9" s="16" t="s">
        <v>156</v>
      </c>
      <c r="F9">
        <v>14.36</v>
      </c>
      <c r="G9" t="s">
        <v>44</v>
      </c>
      <c r="H9">
        <v>0</v>
      </c>
      <c r="I9">
        <f>2*1.2*(4.5+2)</f>
        <v>15.6</v>
      </c>
      <c r="L9">
        <f>Constants!$B$2</f>
        <v>2.8</v>
      </c>
      <c r="M9" t="str">
        <f t="shared" si="0"/>
        <v>N/A</v>
      </c>
      <c r="N9">
        <f>P9*Constants!$E$2</f>
        <v>0</v>
      </c>
      <c r="P9">
        <f t="shared" si="1"/>
        <v>0</v>
      </c>
      <c r="Q9">
        <f>P9*Constants!$B$3</f>
        <v>0</v>
      </c>
      <c r="R9">
        <f t="shared" si="2"/>
        <v>0</v>
      </c>
      <c r="S9">
        <f t="shared" si="3"/>
        <v>15.6</v>
      </c>
      <c r="T9">
        <f>S9*Constants!$B$2</f>
        <v>43.68</v>
      </c>
      <c r="V9">
        <f t="shared" si="4"/>
        <v>0</v>
      </c>
      <c r="W9">
        <f t="shared" si="5"/>
        <v>0</v>
      </c>
      <c r="AA9" s="8"/>
      <c r="AJ9" s="4"/>
    </row>
    <row r="10" spans="1:40" x14ac:dyDescent="0.25">
      <c r="A10">
        <v>9</v>
      </c>
      <c r="B10">
        <v>9</v>
      </c>
      <c r="C10" t="s">
        <v>57</v>
      </c>
      <c r="D10" s="16" t="s">
        <v>155</v>
      </c>
      <c r="E10" s="16" t="s">
        <v>156</v>
      </c>
      <c r="F10">
        <v>2.4</v>
      </c>
      <c r="G10" t="s">
        <v>44</v>
      </c>
      <c r="H10">
        <v>0</v>
      </c>
      <c r="I10">
        <v>6.55</v>
      </c>
      <c r="L10">
        <f>Constants!$B$2</f>
        <v>2.8</v>
      </c>
      <c r="M10" t="str">
        <f t="shared" si="0"/>
        <v>N/A</v>
      </c>
      <c r="N10">
        <f>P10*Constants!$E$2</f>
        <v>0</v>
      </c>
      <c r="P10">
        <f>H10</f>
        <v>0</v>
      </c>
      <c r="Q10">
        <f>P10*Constants!$B$3</f>
        <v>0</v>
      </c>
      <c r="R10">
        <f>IF(Q10-N10&lt;=0, 0, Q10-N10)</f>
        <v>0</v>
      </c>
      <c r="S10">
        <f>I10-P10</f>
        <v>6.55</v>
      </c>
      <c r="T10">
        <f>S10*Constants!$B$2</f>
        <v>18.34</v>
      </c>
      <c r="V10">
        <f>IF(B10="E",1,0)</f>
        <v>0</v>
      </c>
      <c r="W10">
        <f>IF(B10=10,1,0)</f>
        <v>0</v>
      </c>
      <c r="AA10" s="8"/>
      <c r="AJ10" s="4"/>
    </row>
    <row r="11" spans="1:40" x14ac:dyDescent="0.25">
      <c r="A11">
        <v>10</v>
      </c>
      <c r="B11">
        <v>9</v>
      </c>
      <c r="C11" t="s">
        <v>182</v>
      </c>
      <c r="D11" s="16" t="s">
        <v>183</v>
      </c>
      <c r="F11">
        <v>14.36</v>
      </c>
      <c r="G11" t="s">
        <v>44</v>
      </c>
      <c r="H11">
        <v>0</v>
      </c>
      <c r="I11">
        <f>2*1.2*(4.5+2)</f>
        <v>15.6</v>
      </c>
      <c r="L11">
        <f>Constants!$B$2</f>
        <v>2.8</v>
      </c>
      <c r="M11" t="str">
        <f t="shared" ref="M11:M13" si="11">IF(N11&gt;0,G11,"N/A")</f>
        <v>N/A</v>
      </c>
      <c r="N11">
        <f>P11*Constants!$E$2</f>
        <v>0</v>
      </c>
      <c r="P11">
        <f t="shared" ref="P11" si="12">H11</f>
        <v>0</v>
      </c>
      <c r="Q11">
        <f>P11*Constants!$B$3</f>
        <v>0</v>
      </c>
      <c r="R11">
        <f t="shared" ref="R11" si="13">IF(Q11-N11&lt;=0, 0, Q11-N11)</f>
        <v>0</v>
      </c>
      <c r="S11">
        <f t="shared" ref="S11" si="14">I11-P11</f>
        <v>15.6</v>
      </c>
      <c r="T11">
        <f>S11*Constants!$B$2</f>
        <v>43.68</v>
      </c>
      <c r="V11">
        <f t="shared" ref="V11" si="15">IF(B11="E",1,0)</f>
        <v>0</v>
      </c>
      <c r="W11">
        <f t="shared" ref="W11" si="16">IF(B11=10,1,0)</f>
        <v>0</v>
      </c>
      <c r="AA11" s="8"/>
      <c r="AJ11" s="4"/>
    </row>
    <row r="12" spans="1:40" x14ac:dyDescent="0.25">
      <c r="A12">
        <v>11</v>
      </c>
      <c r="B12">
        <v>9</v>
      </c>
      <c r="C12" t="s">
        <v>57</v>
      </c>
      <c r="D12" s="16" t="s">
        <v>184</v>
      </c>
      <c r="E12" s="16" t="s">
        <v>183</v>
      </c>
      <c r="F12">
        <v>2.4</v>
      </c>
      <c r="G12" t="s">
        <v>44</v>
      </c>
      <c r="H12">
        <v>0</v>
      </c>
      <c r="I12">
        <v>6.55</v>
      </c>
      <c r="L12">
        <f>Constants!$B$2</f>
        <v>2.8</v>
      </c>
      <c r="M12" t="str">
        <f t="shared" si="11"/>
        <v>N/A</v>
      </c>
      <c r="N12">
        <f>P12*Constants!$E$2</f>
        <v>0</v>
      </c>
      <c r="P12">
        <f>H12</f>
        <v>0</v>
      </c>
      <c r="Q12">
        <f>P12*Constants!$B$3</f>
        <v>0</v>
      </c>
      <c r="R12">
        <f>IF(Q12-N12&lt;=0, 0, Q12-N12)</f>
        <v>0</v>
      </c>
      <c r="S12">
        <f>I12-P12</f>
        <v>6.55</v>
      </c>
      <c r="T12">
        <f>S12*Constants!$B$2</f>
        <v>18.34</v>
      </c>
      <c r="V12">
        <f>IF(B12="E",1,0)</f>
        <v>0</v>
      </c>
      <c r="W12">
        <f>IF(B12=10,1,0)</f>
        <v>0</v>
      </c>
      <c r="AA12" s="8"/>
      <c r="AJ12" s="4"/>
    </row>
    <row r="13" spans="1:40" x14ac:dyDescent="0.25">
      <c r="A13">
        <v>12</v>
      </c>
      <c r="B13">
        <v>9</v>
      </c>
      <c r="C13" t="s">
        <v>182</v>
      </c>
      <c r="D13" s="16" t="s">
        <v>157</v>
      </c>
      <c r="E13" s="16"/>
      <c r="F13">
        <v>24.73</v>
      </c>
      <c r="G13" t="s">
        <v>44</v>
      </c>
      <c r="H13">
        <v>0</v>
      </c>
      <c r="I13">
        <f>2*1.2*(4+4.5)</f>
        <v>20.399999999999999</v>
      </c>
      <c r="L13">
        <f>Constants!$B$2</f>
        <v>2.8</v>
      </c>
      <c r="M13" t="str">
        <f t="shared" si="11"/>
        <v>N/A</v>
      </c>
      <c r="N13">
        <f>P13*Constants!$E$2</f>
        <v>0</v>
      </c>
      <c r="P13">
        <f>H13</f>
        <v>0</v>
      </c>
      <c r="Q13">
        <f>P13*Constants!$B$3</f>
        <v>0</v>
      </c>
      <c r="R13">
        <f>IF(Q13-N13&lt;=0, 0, Q13-N13)</f>
        <v>0</v>
      </c>
      <c r="S13">
        <f>I13-P13</f>
        <v>20.399999999999999</v>
      </c>
      <c r="T13">
        <f>S13*Constants!$B$2</f>
        <v>57.11999999999999</v>
      </c>
      <c r="V13">
        <f>IF(B13="E",1,0)</f>
        <v>0</v>
      </c>
      <c r="W13">
        <f>IF(B13=10,1,0)</f>
        <v>0</v>
      </c>
      <c r="AA13" s="8"/>
      <c r="AJ13" s="4"/>
    </row>
    <row r="14" spans="1:40" x14ac:dyDescent="0.25">
      <c r="A14">
        <v>13</v>
      </c>
      <c r="B14">
        <v>9</v>
      </c>
      <c r="C14" t="s">
        <v>54</v>
      </c>
      <c r="D14" s="16" t="s">
        <v>158</v>
      </c>
      <c r="F14">
        <v>12</v>
      </c>
      <c r="G14">
        <v>270</v>
      </c>
      <c r="H14">
        <v>2.4</v>
      </c>
      <c r="I14">
        <f>2*1.2*(2+4.5)</f>
        <v>15.6</v>
      </c>
      <c r="L14">
        <f>Constants!$B$2</f>
        <v>2.8</v>
      </c>
      <c r="M14">
        <f t="shared" si="0"/>
        <v>270</v>
      </c>
      <c r="N14">
        <f>P14*Constants!$E$2</f>
        <v>4.08</v>
      </c>
      <c r="P14">
        <f t="shared" si="1"/>
        <v>2.4</v>
      </c>
      <c r="Q14">
        <f>P14*Constants!$B$3</f>
        <v>10.079999999999998</v>
      </c>
      <c r="R14">
        <f t="shared" si="2"/>
        <v>5.9999999999999982</v>
      </c>
      <c r="S14">
        <f t="shared" si="3"/>
        <v>13.2</v>
      </c>
      <c r="T14">
        <f>S14*Constants!$B$2</f>
        <v>36.959999999999994</v>
      </c>
      <c r="V14">
        <f t="shared" si="4"/>
        <v>0</v>
      </c>
      <c r="W14">
        <f t="shared" si="5"/>
        <v>0</v>
      </c>
      <c r="AA14" s="8"/>
      <c r="AJ14" s="4"/>
    </row>
    <row r="15" spans="1:40" x14ac:dyDescent="0.25">
      <c r="A15">
        <v>14</v>
      </c>
      <c r="B15">
        <v>9</v>
      </c>
      <c r="C15" t="s">
        <v>917</v>
      </c>
      <c r="D15" s="16" t="s">
        <v>159</v>
      </c>
      <c r="F15">
        <v>24.58</v>
      </c>
      <c r="G15">
        <v>270</v>
      </c>
      <c r="H15">
        <v>3.6</v>
      </c>
      <c r="I15">
        <f>22.8</f>
        <v>22.8</v>
      </c>
      <c r="L15">
        <f>Constants!$B$2</f>
        <v>2.8</v>
      </c>
      <c r="M15">
        <f t="shared" si="0"/>
        <v>270</v>
      </c>
      <c r="N15">
        <f>P15*Constants!$E$2</f>
        <v>6.12</v>
      </c>
      <c r="P15">
        <f t="shared" si="1"/>
        <v>3.6</v>
      </c>
      <c r="Q15">
        <f>P15*Constants!$B$3</f>
        <v>15.119999999999997</v>
      </c>
      <c r="R15">
        <f t="shared" si="2"/>
        <v>8.9999999999999964</v>
      </c>
      <c r="S15">
        <f t="shared" si="3"/>
        <v>19.2</v>
      </c>
      <c r="T15">
        <f>S15*Constants!$B$2</f>
        <v>53.76</v>
      </c>
      <c r="V15">
        <f t="shared" si="4"/>
        <v>0</v>
      </c>
      <c r="W15">
        <f t="shared" si="5"/>
        <v>0</v>
      </c>
      <c r="AA15" s="8"/>
      <c r="AJ15" s="4"/>
    </row>
    <row r="16" spans="1:40" x14ac:dyDescent="0.25">
      <c r="A16">
        <v>15</v>
      </c>
      <c r="B16">
        <v>9</v>
      </c>
      <c r="C16" t="s">
        <v>57</v>
      </c>
      <c r="D16" s="16" t="s">
        <v>160</v>
      </c>
      <c r="E16" s="16" t="s">
        <v>159</v>
      </c>
      <c r="F16">
        <v>2.4</v>
      </c>
      <c r="G16" t="s">
        <v>44</v>
      </c>
      <c r="H16">
        <v>0</v>
      </c>
      <c r="I16">
        <v>6.55</v>
      </c>
      <c r="L16">
        <f>Constants!$B$2</f>
        <v>2.8</v>
      </c>
      <c r="M16" t="str">
        <f t="shared" si="0"/>
        <v>N/A</v>
      </c>
      <c r="N16">
        <f>P16*Constants!$E$2</f>
        <v>0</v>
      </c>
      <c r="P16">
        <f>H16</f>
        <v>0</v>
      </c>
      <c r="Q16">
        <f>P16*Constants!$B$3</f>
        <v>0</v>
      </c>
      <c r="R16">
        <f>IF(Q16-N16&lt;=0, 0, Q16-N16)</f>
        <v>0</v>
      </c>
      <c r="S16">
        <f>I16-P16</f>
        <v>6.55</v>
      </c>
      <c r="T16">
        <f>S16*Constants!$B$2</f>
        <v>18.34</v>
      </c>
      <c r="V16">
        <f>IF(B16="E",1,0)</f>
        <v>0</v>
      </c>
      <c r="W16">
        <f>IF(B16=10,1,0)</f>
        <v>0</v>
      </c>
      <c r="AA16" s="8"/>
      <c r="AJ16" s="4"/>
    </row>
    <row r="17" spans="1:36" x14ac:dyDescent="0.25">
      <c r="A17">
        <v>16</v>
      </c>
      <c r="B17">
        <v>9</v>
      </c>
      <c r="C17" t="s">
        <v>917</v>
      </c>
      <c r="D17" s="16" t="s">
        <v>161</v>
      </c>
      <c r="F17">
        <v>24.76</v>
      </c>
      <c r="G17">
        <v>90</v>
      </c>
      <c r="H17">
        <v>3.6</v>
      </c>
      <c r="I17">
        <f>2*(3.6+7.9)</f>
        <v>23</v>
      </c>
      <c r="L17">
        <f>Constants!$B$2</f>
        <v>2.8</v>
      </c>
      <c r="M17">
        <f t="shared" si="0"/>
        <v>90</v>
      </c>
      <c r="N17">
        <f>P17*Constants!$E$2</f>
        <v>6.12</v>
      </c>
      <c r="P17">
        <f t="shared" si="1"/>
        <v>3.6</v>
      </c>
      <c r="Q17">
        <f>P17*Constants!$B$3</f>
        <v>15.119999999999997</v>
      </c>
      <c r="R17">
        <f t="shared" si="2"/>
        <v>8.9999999999999964</v>
      </c>
      <c r="S17">
        <f t="shared" si="3"/>
        <v>19.399999999999999</v>
      </c>
      <c r="T17">
        <f>S17*Constants!$B$2</f>
        <v>54.319999999999993</v>
      </c>
      <c r="V17">
        <f t="shared" si="4"/>
        <v>0</v>
      </c>
      <c r="W17">
        <f t="shared" si="5"/>
        <v>0</v>
      </c>
      <c r="AA17" s="8"/>
      <c r="AJ17" s="4"/>
    </row>
    <row r="18" spans="1:36" x14ac:dyDescent="0.25">
      <c r="A18">
        <v>17</v>
      </c>
      <c r="B18">
        <v>9</v>
      </c>
      <c r="C18" t="s">
        <v>57</v>
      </c>
      <c r="D18" s="16" t="s">
        <v>162</v>
      </c>
      <c r="E18" s="16" t="s">
        <v>161</v>
      </c>
      <c r="F18">
        <v>2.4</v>
      </c>
      <c r="G18" t="s">
        <v>44</v>
      </c>
      <c r="H18">
        <v>0</v>
      </c>
      <c r="I18">
        <v>6.55</v>
      </c>
      <c r="L18">
        <f>Constants!$B$2</f>
        <v>2.8</v>
      </c>
      <c r="M18" t="str">
        <f t="shared" si="0"/>
        <v>N/A</v>
      </c>
      <c r="N18">
        <f>P18*Constants!$E$2</f>
        <v>0</v>
      </c>
      <c r="P18">
        <f>H18</f>
        <v>0</v>
      </c>
      <c r="Q18">
        <f>P18*Constants!$B$3</f>
        <v>0</v>
      </c>
      <c r="R18">
        <f>IF(Q18-N18&lt;=0, 0, Q18-N18)</f>
        <v>0</v>
      </c>
      <c r="S18">
        <f>I18-P18</f>
        <v>6.55</v>
      </c>
      <c r="T18">
        <f>S18*Constants!$B$2</f>
        <v>18.34</v>
      </c>
      <c r="V18">
        <f>IF(B18="E",1,0)</f>
        <v>0</v>
      </c>
      <c r="W18">
        <f>IF(B18=10,1,0)</f>
        <v>0</v>
      </c>
      <c r="AA18" s="8"/>
      <c r="AJ18" s="4"/>
    </row>
    <row r="19" spans="1:36" x14ac:dyDescent="0.25">
      <c r="A19">
        <v>18</v>
      </c>
      <c r="B19">
        <v>9</v>
      </c>
      <c r="C19" t="s">
        <v>62</v>
      </c>
      <c r="D19" s="16" t="s">
        <v>163</v>
      </c>
      <c r="F19">
        <v>13.37</v>
      </c>
      <c r="G19" t="s">
        <v>44</v>
      </c>
      <c r="H19">
        <v>0</v>
      </c>
      <c r="I19">
        <f>2*1.2*(2.5+4)</f>
        <v>15.6</v>
      </c>
      <c r="L19">
        <f>Constants!$B$2</f>
        <v>2.8</v>
      </c>
      <c r="M19" t="str">
        <f t="shared" si="0"/>
        <v>N/A</v>
      </c>
      <c r="N19">
        <f>P19*Constants!$E$2</f>
        <v>0</v>
      </c>
      <c r="P19">
        <f t="shared" si="1"/>
        <v>0</v>
      </c>
      <c r="Q19">
        <f>P19*Constants!$B$3</f>
        <v>0</v>
      </c>
      <c r="R19">
        <f t="shared" si="2"/>
        <v>0</v>
      </c>
      <c r="S19">
        <f t="shared" si="3"/>
        <v>15.6</v>
      </c>
      <c r="T19">
        <f>S19*Constants!$B$2</f>
        <v>43.68</v>
      </c>
      <c r="V19">
        <f t="shared" si="4"/>
        <v>0</v>
      </c>
      <c r="W19">
        <f t="shared" si="5"/>
        <v>0</v>
      </c>
      <c r="AA19" s="8"/>
      <c r="AJ19" s="4"/>
    </row>
    <row r="20" spans="1:36" x14ac:dyDescent="0.25">
      <c r="A20">
        <v>19</v>
      </c>
      <c r="B20">
        <v>9</v>
      </c>
      <c r="C20" t="s">
        <v>64</v>
      </c>
      <c r="D20" s="16" t="s">
        <v>164</v>
      </c>
      <c r="F20">
        <v>3.72</v>
      </c>
      <c r="G20">
        <v>90</v>
      </c>
      <c r="H20">
        <v>1.3</v>
      </c>
      <c r="I20">
        <f>2*(2.8+1.3)</f>
        <v>8.1999999999999993</v>
      </c>
      <c r="L20">
        <f>Constants!$B$2</f>
        <v>2.8</v>
      </c>
      <c r="M20">
        <f t="shared" si="0"/>
        <v>90</v>
      </c>
      <c r="N20">
        <f>P20*Constants!$E$2</f>
        <v>2.21</v>
      </c>
      <c r="P20">
        <f t="shared" si="1"/>
        <v>1.3</v>
      </c>
      <c r="Q20">
        <f>P20*Constants!$B$3</f>
        <v>5.4599999999999991</v>
      </c>
      <c r="R20">
        <f t="shared" si="2"/>
        <v>3.2499999999999991</v>
      </c>
      <c r="S20">
        <f t="shared" si="3"/>
        <v>6.8999999999999995</v>
      </c>
      <c r="T20">
        <f>S20*Constants!$B$2</f>
        <v>19.319999999999997</v>
      </c>
      <c r="V20">
        <f t="shared" si="4"/>
        <v>0</v>
      </c>
      <c r="W20">
        <f t="shared" si="5"/>
        <v>0</v>
      </c>
      <c r="AA20" s="8"/>
      <c r="AJ20" s="4"/>
    </row>
    <row r="21" spans="1:36" x14ac:dyDescent="0.25">
      <c r="A21">
        <v>20</v>
      </c>
      <c r="B21">
        <v>9</v>
      </c>
      <c r="C21" t="s">
        <v>64</v>
      </c>
      <c r="D21" s="16" t="s">
        <v>165</v>
      </c>
      <c r="F21">
        <v>3.72</v>
      </c>
      <c r="G21">
        <v>90</v>
      </c>
      <c r="H21">
        <v>1.3</v>
      </c>
      <c r="I21">
        <f>2*(2.8+1.3)</f>
        <v>8.1999999999999993</v>
      </c>
      <c r="L21">
        <f>Constants!$B$2</f>
        <v>2.8</v>
      </c>
      <c r="M21">
        <f t="shared" si="0"/>
        <v>90</v>
      </c>
      <c r="N21">
        <f>P21*Constants!$E$2</f>
        <v>2.21</v>
      </c>
      <c r="P21">
        <f t="shared" si="1"/>
        <v>1.3</v>
      </c>
      <c r="Q21">
        <f>P21*Constants!$B$3</f>
        <v>5.4599999999999991</v>
      </c>
      <c r="R21">
        <f t="shared" si="2"/>
        <v>3.2499999999999991</v>
      </c>
      <c r="S21">
        <f t="shared" si="3"/>
        <v>6.8999999999999995</v>
      </c>
      <c r="T21">
        <f>S21*Constants!$B$2</f>
        <v>19.319999999999997</v>
      </c>
      <c r="V21">
        <f t="shared" si="4"/>
        <v>0</v>
      </c>
      <c r="W21">
        <f t="shared" si="5"/>
        <v>0</v>
      </c>
      <c r="AA21" s="8"/>
      <c r="AJ21" s="4"/>
    </row>
    <row r="22" spans="1:36" x14ac:dyDescent="0.25">
      <c r="A22">
        <v>21</v>
      </c>
      <c r="B22">
        <v>9</v>
      </c>
      <c r="C22" t="s">
        <v>917</v>
      </c>
      <c r="D22" s="16" t="s">
        <v>166</v>
      </c>
      <c r="F22">
        <v>25.47</v>
      </c>
      <c r="G22">
        <v>270</v>
      </c>
      <c r="H22">
        <f>3.6+3.3</f>
        <v>6.9</v>
      </c>
      <c r="I22">
        <f>2*(3.6+7.9)</f>
        <v>23</v>
      </c>
      <c r="L22">
        <f>Constants!$B$2</f>
        <v>2.8</v>
      </c>
      <c r="M22">
        <f t="shared" si="0"/>
        <v>270</v>
      </c>
      <c r="N22">
        <f>P22*Constants!$E$2</f>
        <v>11.73</v>
      </c>
      <c r="P22">
        <f t="shared" si="1"/>
        <v>6.9</v>
      </c>
      <c r="Q22">
        <f>P22*Constants!$B$3</f>
        <v>28.979999999999997</v>
      </c>
      <c r="R22">
        <f t="shared" si="2"/>
        <v>17.249999999999996</v>
      </c>
      <c r="S22">
        <f t="shared" si="3"/>
        <v>16.100000000000001</v>
      </c>
      <c r="T22">
        <f>S22*Constants!$B$2</f>
        <v>45.08</v>
      </c>
      <c r="V22">
        <f t="shared" si="4"/>
        <v>0</v>
      </c>
      <c r="W22">
        <f t="shared" si="5"/>
        <v>0</v>
      </c>
      <c r="AA22" s="8"/>
      <c r="AJ22" s="4"/>
    </row>
    <row r="23" spans="1:36" x14ac:dyDescent="0.25">
      <c r="A23">
        <v>22</v>
      </c>
      <c r="B23">
        <v>9</v>
      </c>
      <c r="C23" t="s">
        <v>57</v>
      </c>
      <c r="D23" s="16" t="s">
        <v>167</v>
      </c>
      <c r="E23" s="16" t="s">
        <v>166</v>
      </c>
      <c r="F23">
        <v>2.4</v>
      </c>
      <c r="G23" t="s">
        <v>44</v>
      </c>
      <c r="H23">
        <v>0</v>
      </c>
      <c r="I23">
        <v>6.55</v>
      </c>
      <c r="L23">
        <f>Constants!$B$2</f>
        <v>2.8</v>
      </c>
      <c r="M23" t="str">
        <f t="shared" si="0"/>
        <v>N/A</v>
      </c>
      <c r="N23">
        <f>P23*Constants!$E$2</f>
        <v>0</v>
      </c>
      <c r="P23">
        <f>H23</f>
        <v>0</v>
      </c>
      <c r="Q23">
        <f>P23*Constants!$B$3</f>
        <v>0</v>
      </c>
      <c r="R23">
        <f>IF(Q23-N23&lt;=0, 0, Q23-N23)</f>
        <v>0</v>
      </c>
      <c r="S23">
        <f>I23-P23</f>
        <v>6.55</v>
      </c>
      <c r="T23">
        <f>S23*Constants!$B$2</f>
        <v>18.34</v>
      </c>
      <c r="V23">
        <f>IF(B23="E",1,0)</f>
        <v>0</v>
      </c>
      <c r="W23">
        <f>IF(B23=10,1,0)</f>
        <v>0</v>
      </c>
      <c r="AA23" s="8"/>
      <c r="AJ23" s="4"/>
    </row>
    <row r="24" spans="1:36" x14ac:dyDescent="0.25">
      <c r="A24">
        <v>23</v>
      </c>
      <c r="B24">
        <v>9</v>
      </c>
      <c r="C24" t="s">
        <v>185</v>
      </c>
      <c r="D24" s="16" t="s">
        <v>168</v>
      </c>
      <c r="F24">
        <v>24.39</v>
      </c>
      <c r="G24">
        <v>90</v>
      </c>
      <c r="H24">
        <v>4.8</v>
      </c>
      <c r="I24">
        <f>2*1.2*(4+4.5)</f>
        <v>20.399999999999999</v>
      </c>
      <c r="L24">
        <f>Constants!$B$2</f>
        <v>2.8</v>
      </c>
      <c r="M24">
        <f t="shared" si="0"/>
        <v>90</v>
      </c>
      <c r="N24">
        <f>P24*Constants!$E$2</f>
        <v>8.16</v>
      </c>
      <c r="P24">
        <f t="shared" si="1"/>
        <v>4.8</v>
      </c>
      <c r="Q24">
        <f>P24*Constants!$B$3</f>
        <v>20.159999999999997</v>
      </c>
      <c r="R24">
        <f t="shared" si="2"/>
        <v>11.999999999999996</v>
      </c>
      <c r="S24">
        <f t="shared" si="3"/>
        <v>15.599999999999998</v>
      </c>
      <c r="T24">
        <f>S24*Constants!$B$2</f>
        <v>43.679999999999993</v>
      </c>
      <c r="V24">
        <f t="shared" si="4"/>
        <v>0</v>
      </c>
      <c r="W24">
        <f t="shared" si="5"/>
        <v>0</v>
      </c>
      <c r="AA24" s="8"/>
      <c r="AJ24" s="4"/>
    </row>
    <row r="25" spans="1:36" x14ac:dyDescent="0.25">
      <c r="A25">
        <v>24</v>
      </c>
      <c r="B25">
        <v>9</v>
      </c>
      <c r="C25" t="s">
        <v>182</v>
      </c>
      <c r="D25" s="16" t="s">
        <v>169</v>
      </c>
      <c r="E25" s="16" t="s">
        <v>168</v>
      </c>
      <c r="F25">
        <v>8.5299999999999994</v>
      </c>
      <c r="G25" t="s">
        <v>44</v>
      </c>
      <c r="H25">
        <v>0</v>
      </c>
      <c r="I25">
        <f>2*1.2*(2+3.5)</f>
        <v>13.2</v>
      </c>
      <c r="L25">
        <f>Constants!$B$2</f>
        <v>2.8</v>
      </c>
      <c r="M25" t="str">
        <f t="shared" si="0"/>
        <v>N/A</v>
      </c>
      <c r="N25">
        <f>P25*Constants!$E$2</f>
        <v>0</v>
      </c>
      <c r="P25">
        <f t="shared" si="1"/>
        <v>0</v>
      </c>
      <c r="Q25">
        <f>P25*Constants!$B$3</f>
        <v>0</v>
      </c>
      <c r="R25">
        <f t="shared" si="2"/>
        <v>0</v>
      </c>
      <c r="S25">
        <f t="shared" si="3"/>
        <v>13.2</v>
      </c>
      <c r="T25">
        <f>S25*Constants!$B$2</f>
        <v>36.959999999999994</v>
      </c>
      <c r="V25">
        <f t="shared" si="4"/>
        <v>0</v>
      </c>
      <c r="W25">
        <f t="shared" si="5"/>
        <v>0</v>
      </c>
      <c r="AA25" s="8"/>
      <c r="AJ25" s="4"/>
    </row>
    <row r="26" spans="1:36" x14ac:dyDescent="0.25">
      <c r="A26">
        <v>25</v>
      </c>
      <c r="B26">
        <v>9</v>
      </c>
      <c r="C26" t="s">
        <v>64</v>
      </c>
      <c r="D26" s="16" t="s">
        <v>170</v>
      </c>
      <c r="F26">
        <v>2.46</v>
      </c>
      <c r="G26" t="s">
        <v>44</v>
      </c>
      <c r="H26">
        <v>0</v>
      </c>
      <c r="I26">
        <f>2*1.2*(1+2)</f>
        <v>7.1999999999999993</v>
      </c>
      <c r="L26">
        <f>Constants!$B$2</f>
        <v>2.8</v>
      </c>
      <c r="M26" t="str">
        <f t="shared" si="0"/>
        <v>N/A</v>
      </c>
      <c r="N26">
        <f>P26*Constants!$E$2</f>
        <v>0</v>
      </c>
      <c r="P26">
        <f t="shared" si="1"/>
        <v>0</v>
      </c>
      <c r="Q26">
        <f>P26*Constants!$B$3</f>
        <v>0</v>
      </c>
      <c r="R26">
        <f t="shared" si="2"/>
        <v>0</v>
      </c>
      <c r="S26">
        <f t="shared" si="3"/>
        <v>7.1999999999999993</v>
      </c>
      <c r="T26">
        <f>S26*Constants!$B$2</f>
        <v>20.159999999999997</v>
      </c>
      <c r="V26">
        <f t="shared" si="4"/>
        <v>0</v>
      </c>
      <c r="W26">
        <f t="shared" si="5"/>
        <v>0</v>
      </c>
      <c r="AA26" s="8"/>
      <c r="AJ26" s="4"/>
    </row>
    <row r="27" spans="1:36" x14ac:dyDescent="0.25">
      <c r="A27">
        <v>26</v>
      </c>
      <c r="B27">
        <v>9</v>
      </c>
      <c r="C27" t="s">
        <v>45</v>
      </c>
      <c r="D27" s="16" t="s">
        <v>171</v>
      </c>
      <c r="F27">
        <v>28.41</v>
      </c>
      <c r="G27">
        <v>90</v>
      </c>
      <c r="H27">
        <v>4.8</v>
      </c>
      <c r="I27">
        <f>2*1.2*(4+6)</f>
        <v>24</v>
      </c>
      <c r="L27">
        <f>Constants!$B$2</f>
        <v>2.8</v>
      </c>
      <c r="M27">
        <f t="shared" si="0"/>
        <v>90</v>
      </c>
      <c r="N27">
        <f>P27*Constants!$E$2</f>
        <v>8.16</v>
      </c>
      <c r="P27">
        <f t="shared" si="1"/>
        <v>4.8</v>
      </c>
      <c r="Q27">
        <f>P27*Constants!$B$3</f>
        <v>20.159999999999997</v>
      </c>
      <c r="R27">
        <f t="shared" si="2"/>
        <v>11.999999999999996</v>
      </c>
      <c r="S27">
        <f t="shared" si="3"/>
        <v>19.2</v>
      </c>
      <c r="T27">
        <f>S27*Constants!$B$2</f>
        <v>53.76</v>
      </c>
      <c r="V27">
        <f t="shared" si="4"/>
        <v>0</v>
      </c>
      <c r="W27">
        <f t="shared" si="5"/>
        <v>0</v>
      </c>
      <c r="AA27" s="8"/>
      <c r="AJ27" s="4"/>
    </row>
    <row r="28" spans="1:36" x14ac:dyDescent="0.25">
      <c r="A28">
        <v>27</v>
      </c>
      <c r="B28">
        <v>9</v>
      </c>
      <c r="C28" t="s">
        <v>917</v>
      </c>
      <c r="D28" s="16" t="s">
        <v>172</v>
      </c>
      <c r="F28">
        <v>22.08</v>
      </c>
      <c r="G28">
        <v>90</v>
      </c>
      <c r="H28">
        <v>3.6</v>
      </c>
      <c r="I28">
        <v>22.8</v>
      </c>
      <c r="L28">
        <f>Constants!$B$2</f>
        <v>2.8</v>
      </c>
      <c r="M28">
        <f t="shared" si="0"/>
        <v>90</v>
      </c>
      <c r="N28">
        <f>P28*Constants!$E$2</f>
        <v>6.12</v>
      </c>
      <c r="P28">
        <f t="shared" si="1"/>
        <v>3.6</v>
      </c>
      <c r="Q28">
        <f>P28*Constants!$B$3</f>
        <v>15.119999999999997</v>
      </c>
      <c r="R28">
        <f t="shared" si="2"/>
        <v>8.9999999999999964</v>
      </c>
      <c r="S28">
        <f t="shared" si="3"/>
        <v>19.2</v>
      </c>
      <c r="T28">
        <f>S28*Constants!$B$2</f>
        <v>53.76</v>
      </c>
      <c r="V28">
        <f t="shared" si="4"/>
        <v>0</v>
      </c>
      <c r="W28">
        <f t="shared" si="5"/>
        <v>0</v>
      </c>
      <c r="AA28" s="8"/>
      <c r="AJ28" s="4"/>
    </row>
    <row r="29" spans="1:36" x14ac:dyDescent="0.25">
      <c r="A29">
        <v>28</v>
      </c>
      <c r="B29">
        <v>9</v>
      </c>
      <c r="C29" t="s">
        <v>45</v>
      </c>
      <c r="D29" s="16" t="s">
        <v>173</v>
      </c>
      <c r="E29" s="16"/>
      <c r="F29">
        <v>5.0599999999999996</v>
      </c>
      <c r="G29" t="s">
        <v>44</v>
      </c>
      <c r="H29">
        <v>0</v>
      </c>
      <c r="I29">
        <f>2*1.2*4</f>
        <v>9.6</v>
      </c>
      <c r="L29">
        <f>Constants!$B$2</f>
        <v>2.8</v>
      </c>
      <c r="M29" t="str">
        <f t="shared" si="0"/>
        <v>N/A</v>
      </c>
      <c r="N29">
        <f>P29*Constants!$E$2</f>
        <v>0</v>
      </c>
      <c r="P29">
        <f t="shared" si="1"/>
        <v>0</v>
      </c>
      <c r="Q29">
        <f>P29*Constants!$B$3</f>
        <v>0</v>
      </c>
      <c r="R29">
        <f t="shared" si="2"/>
        <v>0</v>
      </c>
      <c r="S29">
        <f t="shared" si="3"/>
        <v>9.6</v>
      </c>
      <c r="T29">
        <f>S29*Constants!$B$2</f>
        <v>26.88</v>
      </c>
      <c r="V29">
        <f t="shared" si="4"/>
        <v>0</v>
      </c>
      <c r="W29">
        <f t="shared" si="5"/>
        <v>0</v>
      </c>
      <c r="AA29" s="8"/>
      <c r="AJ29" s="4"/>
    </row>
    <row r="30" spans="1:36" x14ac:dyDescent="0.25">
      <c r="A30">
        <v>29</v>
      </c>
      <c r="B30">
        <v>9</v>
      </c>
      <c r="C30" t="s">
        <v>917</v>
      </c>
      <c r="D30" s="16" t="s">
        <v>186</v>
      </c>
      <c r="F30">
        <v>22.26</v>
      </c>
      <c r="G30">
        <v>90</v>
      </c>
      <c r="H30">
        <v>3.6</v>
      </c>
      <c r="I30">
        <v>22.8</v>
      </c>
      <c r="L30">
        <f>Constants!$B$2</f>
        <v>2.8</v>
      </c>
      <c r="M30">
        <f t="shared" si="0"/>
        <v>90</v>
      </c>
      <c r="N30">
        <f>P30*Constants!$E$2</f>
        <v>6.12</v>
      </c>
      <c r="P30">
        <f t="shared" si="1"/>
        <v>3.6</v>
      </c>
      <c r="Q30">
        <f>P30*Constants!$B$3</f>
        <v>15.119999999999997</v>
      </c>
      <c r="R30">
        <f t="shared" si="2"/>
        <v>8.9999999999999964</v>
      </c>
      <c r="S30">
        <f t="shared" si="3"/>
        <v>19.2</v>
      </c>
      <c r="T30">
        <f>S30*Constants!$B$2</f>
        <v>53.76</v>
      </c>
      <c r="V30">
        <f t="shared" si="4"/>
        <v>0</v>
      </c>
      <c r="W30">
        <f t="shared" si="5"/>
        <v>0</v>
      </c>
      <c r="AA30" s="8"/>
      <c r="AJ30" s="4"/>
    </row>
    <row r="31" spans="1:36" x14ac:dyDescent="0.25">
      <c r="A31">
        <v>30</v>
      </c>
      <c r="B31">
        <v>9</v>
      </c>
      <c r="C31" t="s">
        <v>917</v>
      </c>
      <c r="D31" s="16" t="s">
        <v>187</v>
      </c>
      <c r="E31" s="16"/>
      <c r="F31">
        <v>22.26</v>
      </c>
      <c r="G31">
        <v>270</v>
      </c>
      <c r="H31">
        <v>3.6</v>
      </c>
      <c r="I31">
        <f>2*1.2*(3+6.5)</f>
        <v>22.8</v>
      </c>
      <c r="L31">
        <f>Constants!$B$2</f>
        <v>2.8</v>
      </c>
      <c r="M31">
        <f t="shared" si="0"/>
        <v>270</v>
      </c>
      <c r="N31">
        <f>P31*Constants!$E$2</f>
        <v>6.12</v>
      </c>
      <c r="P31">
        <f>H31</f>
        <v>3.6</v>
      </c>
      <c r="Q31">
        <f>P31*Constants!$B$3</f>
        <v>15.119999999999997</v>
      </c>
      <c r="R31">
        <f>IF(Q31-N31&lt;=0, 0, Q31-N31)</f>
        <v>8.9999999999999964</v>
      </c>
      <c r="S31">
        <f>I31-P31</f>
        <v>19.2</v>
      </c>
      <c r="T31">
        <f>S31*Constants!$B$2</f>
        <v>53.76</v>
      </c>
      <c r="V31">
        <f>IF(B31="E",1,0)</f>
        <v>0</v>
      </c>
      <c r="W31">
        <f>IF(B31=10,1,0)</f>
        <v>0</v>
      </c>
      <c r="AA31" s="8"/>
      <c r="AJ31" s="4"/>
    </row>
    <row r="32" spans="1:36" x14ac:dyDescent="0.25">
      <c r="A32">
        <v>31</v>
      </c>
      <c r="B32">
        <v>9</v>
      </c>
      <c r="C32" t="s">
        <v>45</v>
      </c>
      <c r="D32" s="16" t="s">
        <v>188</v>
      </c>
      <c r="F32">
        <v>5.0599999999999996</v>
      </c>
      <c r="G32" t="s">
        <v>44</v>
      </c>
      <c r="H32">
        <v>0</v>
      </c>
      <c r="I32">
        <f>2*1.2*4</f>
        <v>9.6</v>
      </c>
      <c r="L32">
        <f>Constants!$B$2</f>
        <v>2.8</v>
      </c>
      <c r="M32" t="str">
        <f t="shared" si="0"/>
        <v>N/A</v>
      </c>
      <c r="N32">
        <f>P32*Constants!$E$2</f>
        <v>0</v>
      </c>
      <c r="P32">
        <f t="shared" si="1"/>
        <v>0</v>
      </c>
      <c r="Q32">
        <f>P32*Constants!$B$3</f>
        <v>0</v>
      </c>
      <c r="R32">
        <f t="shared" si="2"/>
        <v>0</v>
      </c>
      <c r="S32">
        <f t="shared" si="3"/>
        <v>9.6</v>
      </c>
      <c r="T32">
        <f>S32*Constants!$B$2</f>
        <v>26.88</v>
      </c>
      <c r="V32">
        <f t="shared" si="4"/>
        <v>0</v>
      </c>
      <c r="W32">
        <f t="shared" si="5"/>
        <v>0</v>
      </c>
      <c r="AA32" s="8"/>
      <c r="AJ32" s="4"/>
    </row>
    <row r="33" spans="1:36" x14ac:dyDescent="0.25">
      <c r="A33">
        <v>32</v>
      </c>
      <c r="B33">
        <v>9</v>
      </c>
      <c r="C33" t="s">
        <v>917</v>
      </c>
      <c r="D33" s="16" t="s">
        <v>189</v>
      </c>
      <c r="E33" s="16"/>
      <c r="F33">
        <v>22.08</v>
      </c>
      <c r="G33">
        <v>270</v>
      </c>
      <c r="H33">
        <v>3.6</v>
      </c>
      <c r="I33">
        <v>22.8</v>
      </c>
      <c r="L33">
        <f>Constants!$B$2</f>
        <v>2.8</v>
      </c>
      <c r="M33">
        <f t="shared" ref="M33" si="17">IF(N33&gt;0,G33,"N/A")</f>
        <v>270</v>
      </c>
      <c r="N33">
        <f>P33*Constants!$E$2</f>
        <v>6.12</v>
      </c>
      <c r="P33">
        <f>H33</f>
        <v>3.6</v>
      </c>
      <c r="Q33">
        <f>P33*Constants!$B$3</f>
        <v>15.119999999999997</v>
      </c>
      <c r="R33">
        <f>IF(Q33-N33&lt;=0, 0, Q33-N33)</f>
        <v>8.9999999999999964</v>
      </c>
      <c r="S33">
        <f>I33-P33</f>
        <v>19.2</v>
      </c>
      <c r="T33">
        <f>S33*Constants!$B$2</f>
        <v>53.76</v>
      </c>
      <c r="V33">
        <f>IF(B33="E",1,0)</f>
        <v>0</v>
      </c>
      <c r="W33">
        <f>IF(B33=10,1,0)</f>
        <v>0</v>
      </c>
      <c r="AA33" s="8"/>
      <c r="AJ33" s="4"/>
    </row>
    <row r="34" spans="1:36" x14ac:dyDescent="0.25">
      <c r="A34">
        <v>33</v>
      </c>
      <c r="B34">
        <v>9</v>
      </c>
      <c r="C34" t="s">
        <v>917</v>
      </c>
      <c r="D34" s="16" t="s">
        <v>190</v>
      </c>
      <c r="F34">
        <v>21.95</v>
      </c>
      <c r="G34">
        <v>270</v>
      </c>
      <c r="H34">
        <v>3.6</v>
      </c>
      <c r="I34">
        <v>23</v>
      </c>
      <c r="L34">
        <f>Constants!$B$2</f>
        <v>2.8</v>
      </c>
      <c r="M34">
        <f t="shared" si="0"/>
        <v>270</v>
      </c>
      <c r="N34">
        <f>P34*Constants!$E$2</f>
        <v>6.12</v>
      </c>
      <c r="P34">
        <f t="shared" si="1"/>
        <v>3.6</v>
      </c>
      <c r="Q34">
        <f>P34*Constants!$B$3</f>
        <v>15.119999999999997</v>
      </c>
      <c r="R34">
        <f t="shared" si="2"/>
        <v>8.9999999999999964</v>
      </c>
      <c r="S34">
        <f t="shared" si="3"/>
        <v>19.399999999999999</v>
      </c>
      <c r="T34">
        <f>S34*Constants!$B$2</f>
        <v>54.319999999999993</v>
      </c>
      <c r="V34">
        <f t="shared" si="4"/>
        <v>0</v>
      </c>
      <c r="W34">
        <f t="shared" si="5"/>
        <v>0</v>
      </c>
      <c r="AA34" s="8"/>
      <c r="AJ34" s="4"/>
    </row>
    <row r="35" spans="1:36" x14ac:dyDescent="0.25">
      <c r="A35">
        <v>34</v>
      </c>
      <c r="B35">
        <v>9</v>
      </c>
      <c r="C35" t="s">
        <v>45</v>
      </c>
      <c r="D35" s="16" t="s">
        <v>191</v>
      </c>
      <c r="F35">
        <v>5.0599999999999996</v>
      </c>
      <c r="G35" t="s">
        <v>44</v>
      </c>
      <c r="H35">
        <v>0</v>
      </c>
      <c r="I35">
        <f>2*1.2*4</f>
        <v>9.6</v>
      </c>
      <c r="L35">
        <f>Constants!$B$2</f>
        <v>2.8</v>
      </c>
      <c r="M35" t="str">
        <f t="shared" ref="M35" si="18">IF(N35&gt;0,G35,"N/A")</f>
        <v>N/A</v>
      </c>
      <c r="N35">
        <f>P35*Constants!$E$2</f>
        <v>0</v>
      </c>
      <c r="P35">
        <f t="shared" ref="P35" si="19">H35</f>
        <v>0</v>
      </c>
      <c r="Q35">
        <f>P35*Constants!$B$3</f>
        <v>0</v>
      </c>
      <c r="R35">
        <f t="shared" ref="R35" si="20">IF(Q35-N35&lt;=0, 0, Q35-N35)</f>
        <v>0</v>
      </c>
      <c r="S35">
        <f t="shared" ref="S35" si="21">I35-P35</f>
        <v>9.6</v>
      </c>
      <c r="T35">
        <f>S35*Constants!$B$2</f>
        <v>26.88</v>
      </c>
      <c r="V35">
        <f t="shared" ref="V35" si="22">IF(B35="E",1,0)</f>
        <v>0</v>
      </c>
      <c r="W35">
        <f t="shared" ref="W35" si="23">IF(B35=10,1,0)</f>
        <v>0</v>
      </c>
      <c r="AA35" s="8"/>
      <c r="AJ35" s="4"/>
    </row>
    <row r="36" spans="1:36" x14ac:dyDescent="0.25">
      <c r="A36">
        <v>35</v>
      </c>
      <c r="B36">
        <v>9</v>
      </c>
      <c r="C36" t="s">
        <v>917</v>
      </c>
      <c r="D36" s="16" t="s">
        <v>192</v>
      </c>
      <c r="F36">
        <v>19.57</v>
      </c>
      <c r="G36" t="s">
        <v>44</v>
      </c>
      <c r="H36">
        <v>0</v>
      </c>
      <c r="I36">
        <f>2*1.2*(5.7+3)</f>
        <v>20.88</v>
      </c>
      <c r="L36">
        <f>Constants!$B$2</f>
        <v>2.8</v>
      </c>
      <c r="M36" t="str">
        <f t="shared" si="0"/>
        <v>N/A</v>
      </c>
      <c r="N36">
        <f>P36*Constants!$E$2</f>
        <v>0</v>
      </c>
      <c r="P36">
        <f t="shared" si="1"/>
        <v>0</v>
      </c>
      <c r="Q36">
        <f>P36*Constants!$B$3</f>
        <v>0</v>
      </c>
      <c r="R36">
        <f t="shared" si="2"/>
        <v>0</v>
      </c>
      <c r="S36">
        <f t="shared" si="3"/>
        <v>20.88</v>
      </c>
      <c r="T36">
        <f>S36*Constants!$B$2</f>
        <v>58.463999999999992</v>
      </c>
      <c r="V36">
        <f t="shared" si="4"/>
        <v>0</v>
      </c>
      <c r="W36">
        <f t="shared" si="5"/>
        <v>0</v>
      </c>
      <c r="AA36" s="8"/>
      <c r="AJ36" s="4"/>
    </row>
    <row r="37" spans="1:36" x14ac:dyDescent="0.25">
      <c r="A37">
        <v>36</v>
      </c>
      <c r="B37">
        <v>9</v>
      </c>
      <c r="C37" t="s">
        <v>59</v>
      </c>
      <c r="D37" s="16" t="s">
        <v>193</v>
      </c>
      <c r="E37" s="16"/>
      <c r="F37">
        <v>9.3000000000000007</v>
      </c>
      <c r="G37">
        <v>270</v>
      </c>
      <c r="H37">
        <v>6</v>
      </c>
      <c r="I37">
        <f>2*1.2*(5+2.5)</f>
        <v>18</v>
      </c>
      <c r="L37">
        <f>Constants!$B$2</f>
        <v>2.8</v>
      </c>
      <c r="M37">
        <f t="shared" ref="M37" si="24">IF(N37&gt;0,G37,"N/A")</f>
        <v>270</v>
      </c>
      <c r="N37">
        <f>P37*Constants!$E$2</f>
        <v>10.199999999999999</v>
      </c>
      <c r="P37">
        <f>H37</f>
        <v>6</v>
      </c>
      <c r="Q37">
        <f>P37*Constants!$B$3</f>
        <v>25.199999999999996</v>
      </c>
      <c r="R37">
        <f>IF(Q37-N37&lt;=0, 0, Q37-N37)</f>
        <v>14.999999999999996</v>
      </c>
      <c r="S37">
        <f>I37-P37</f>
        <v>12</v>
      </c>
      <c r="T37">
        <f>S37*Constants!$B$2</f>
        <v>33.599999999999994</v>
      </c>
      <c r="V37">
        <f>IF(B37="E",1,0)</f>
        <v>0</v>
      </c>
      <c r="W37">
        <f>IF(B37=10,1,0)</f>
        <v>0</v>
      </c>
      <c r="AA37" s="8"/>
      <c r="AJ37" s="4"/>
    </row>
    <row r="38" spans="1:36" x14ac:dyDescent="0.25">
      <c r="A38">
        <v>37</v>
      </c>
      <c r="B38">
        <v>9</v>
      </c>
      <c r="C38" t="s">
        <v>66</v>
      </c>
      <c r="D38" s="16" t="s">
        <v>194</v>
      </c>
      <c r="F38">
        <v>8.35</v>
      </c>
      <c r="G38">
        <v>270</v>
      </c>
      <c r="H38">
        <v>3</v>
      </c>
      <c r="I38">
        <f>2*1.2*(2.5+2.5)</f>
        <v>12</v>
      </c>
      <c r="L38">
        <f>Constants!$B$2</f>
        <v>2.8</v>
      </c>
      <c r="M38">
        <f t="shared" si="0"/>
        <v>270</v>
      </c>
      <c r="N38">
        <f>P38*Constants!$E$2</f>
        <v>5.0999999999999996</v>
      </c>
      <c r="P38">
        <f t="shared" si="1"/>
        <v>3</v>
      </c>
      <c r="Q38">
        <f>P38*Constants!$B$3</f>
        <v>12.599999999999998</v>
      </c>
      <c r="R38">
        <f t="shared" si="2"/>
        <v>7.4999999999999982</v>
      </c>
      <c r="S38">
        <f t="shared" si="3"/>
        <v>9</v>
      </c>
      <c r="T38">
        <f>S38*Constants!$B$2</f>
        <v>25.2</v>
      </c>
      <c r="V38">
        <f t="shared" si="4"/>
        <v>0</v>
      </c>
      <c r="W38">
        <f t="shared" si="5"/>
        <v>0</v>
      </c>
      <c r="AA38" s="8"/>
      <c r="AJ38" s="4"/>
    </row>
    <row r="39" spans="1:36" x14ac:dyDescent="0.25">
      <c r="A39">
        <v>38</v>
      </c>
      <c r="B39">
        <v>9</v>
      </c>
      <c r="C39" t="s">
        <v>62</v>
      </c>
      <c r="D39" s="16" t="s">
        <v>174</v>
      </c>
      <c r="F39">
        <v>20.76</v>
      </c>
      <c r="G39">
        <v>90</v>
      </c>
      <c r="H39">
        <v>3.2</v>
      </c>
      <c r="I39">
        <f>2*(5.3+3.2)</f>
        <v>17</v>
      </c>
      <c r="L39">
        <f>Constants!$B$2</f>
        <v>2.8</v>
      </c>
      <c r="M39">
        <f t="shared" si="0"/>
        <v>90</v>
      </c>
      <c r="N39">
        <f>P39*Constants!$E$2</f>
        <v>5.44</v>
      </c>
      <c r="P39">
        <f t="shared" si="1"/>
        <v>3.2</v>
      </c>
      <c r="Q39">
        <f>P39*Constants!$B$3</f>
        <v>13.439999999999998</v>
      </c>
      <c r="R39">
        <f t="shared" si="2"/>
        <v>7.9999999999999973</v>
      </c>
      <c r="S39">
        <f t="shared" si="3"/>
        <v>13.8</v>
      </c>
      <c r="T39">
        <f>S39*Constants!$B$2</f>
        <v>38.64</v>
      </c>
      <c r="V39">
        <f t="shared" si="4"/>
        <v>0</v>
      </c>
      <c r="W39">
        <f t="shared" si="5"/>
        <v>0</v>
      </c>
      <c r="AA39" s="8"/>
      <c r="AJ39" s="4"/>
    </row>
    <row r="40" spans="1:36" x14ac:dyDescent="0.25">
      <c r="A40">
        <v>39</v>
      </c>
      <c r="B40">
        <v>9</v>
      </c>
      <c r="C40" t="s">
        <v>54</v>
      </c>
      <c r="D40" s="16" t="s">
        <v>195</v>
      </c>
      <c r="E40" s="16"/>
      <c r="F40">
        <v>11.64</v>
      </c>
      <c r="G40">
        <v>270</v>
      </c>
      <c r="H40">
        <f>4.5*1.2</f>
        <v>5.3999999999999995</v>
      </c>
      <c r="I40">
        <f>2*1.2*(3.5+2.5)</f>
        <v>14.399999999999999</v>
      </c>
      <c r="L40">
        <f>Constants!$B$2</f>
        <v>2.8</v>
      </c>
      <c r="M40">
        <f t="shared" si="0"/>
        <v>270</v>
      </c>
      <c r="N40">
        <f>P40*Constants!$E$2</f>
        <v>9.18</v>
      </c>
      <c r="P40">
        <f>H40</f>
        <v>5.3999999999999995</v>
      </c>
      <c r="Q40">
        <f>P40*Constants!$B$3</f>
        <v>22.679999999999993</v>
      </c>
      <c r="R40">
        <f>IF(Q40-N40&lt;=0, 0, Q40-N40)</f>
        <v>13.499999999999993</v>
      </c>
      <c r="S40">
        <f>I40-P40</f>
        <v>9</v>
      </c>
      <c r="T40">
        <f>S40*Constants!$B$2</f>
        <v>25.2</v>
      </c>
      <c r="V40">
        <f>IF(B40="E",1,0)</f>
        <v>0</v>
      </c>
      <c r="W40">
        <f>IF(B40=10,1,0)</f>
        <v>0</v>
      </c>
      <c r="AA40" s="8"/>
      <c r="AJ40" s="4"/>
    </row>
    <row r="41" spans="1:36" x14ac:dyDescent="0.25">
      <c r="D41" s="15"/>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4"/>
    </row>
    <row r="450" spans="4:4" x14ac:dyDescent="0.25">
      <c r="D450" s="14"/>
    </row>
    <row r="451" spans="4:4" x14ac:dyDescent="0.25">
      <c r="D451" s="13"/>
    </row>
    <row r="452" spans="4:4" x14ac:dyDescent="0.25">
      <c r="D452" s="13"/>
    </row>
    <row r="453" spans="4:4" x14ac:dyDescent="0.25">
      <c r="D453" s="13"/>
    </row>
    <row r="454" spans="4:4" x14ac:dyDescent="0.25">
      <c r="D454" s="13"/>
    </row>
    <row r="455" spans="4:4" x14ac:dyDescent="0.25">
      <c r="D455" s="13"/>
    </row>
    <row r="456" spans="4:4" x14ac:dyDescent="0.25">
      <c r="D456" s="13"/>
    </row>
    <row r="457" spans="4:4" x14ac:dyDescent="0.25">
      <c r="D457" s="13"/>
    </row>
    <row r="458" spans="4:4" x14ac:dyDescent="0.25">
      <c r="D458" s="13"/>
    </row>
  </sheetData>
  <phoneticPr fontId="5" type="noConversion"/>
  <pageMargins left="0.7" right="0.7" top="0.78740157499999996" bottom="0.78740157499999996"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7"/>
  <sheetViews>
    <sheetView zoomScaleNormal="100" workbookViewId="0">
      <pane xSplit="4" ySplit="1" topLeftCell="F12" activePane="bottomRight" state="frozen"/>
      <selection pane="topRight" activeCell="F1" sqref="F1"/>
      <selection pane="bottomLeft" activeCell="A2" sqref="A2"/>
      <selection pane="bottomRight" activeCell="D47" sqref="D4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54</v>
      </c>
      <c r="D2" s="16" t="s">
        <v>196</v>
      </c>
      <c r="F2">
        <v>27.76</v>
      </c>
      <c r="G2" t="s">
        <v>44</v>
      </c>
      <c r="H2">
        <v>0</v>
      </c>
      <c r="I2">
        <f>2*1.2*(5+5)</f>
        <v>24</v>
      </c>
      <c r="L2">
        <f>Constants!$B$2</f>
        <v>2.8</v>
      </c>
      <c r="M2" t="str">
        <f t="shared" ref="M2" si="0">IF(N2&gt;0,G2,"N/A")</f>
        <v>N/A</v>
      </c>
      <c r="N2">
        <f>P2*Constants!$E$2</f>
        <v>0</v>
      </c>
      <c r="P2">
        <f>H2</f>
        <v>0</v>
      </c>
      <c r="Q2">
        <f>P2*Constants!$B$3</f>
        <v>0</v>
      </c>
      <c r="R2">
        <f>IF(Q2-N2&lt;=0, 0, Q2-N2)</f>
        <v>0</v>
      </c>
      <c r="S2">
        <f>I2-P2</f>
        <v>24</v>
      </c>
      <c r="T2">
        <f>S2*Constants!$B$2</f>
        <v>67.199999999999989</v>
      </c>
      <c r="V2">
        <f>IF(B2="E",1,0)</f>
        <v>0</v>
      </c>
      <c r="W2">
        <f>IF(B2=10,1,0)</f>
        <v>0</v>
      </c>
      <c r="AA2" s="8"/>
      <c r="AJ2" s="4"/>
    </row>
    <row r="3" spans="1:40" x14ac:dyDescent="0.25">
      <c r="A3">
        <v>2</v>
      </c>
      <c r="B3">
        <v>9</v>
      </c>
      <c r="C3" s="17" t="s">
        <v>45</v>
      </c>
      <c r="D3" s="16" t="s">
        <v>197</v>
      </c>
      <c r="F3">
        <v>24.76</v>
      </c>
      <c r="G3">
        <v>90</v>
      </c>
      <c r="H3">
        <v>3</v>
      </c>
      <c r="I3">
        <f>21.66</f>
        <v>21.66</v>
      </c>
      <c r="L3">
        <f>Constants!$B$2</f>
        <v>2.8</v>
      </c>
      <c r="M3">
        <f t="shared" ref="M3:M47" si="1">IF(N3&gt;0,G3,"N/A")</f>
        <v>90</v>
      </c>
      <c r="N3">
        <f>P3*Constants!$E$2</f>
        <v>5.0999999999999996</v>
      </c>
      <c r="P3">
        <f t="shared" ref="P3:P47" si="2">H3</f>
        <v>3</v>
      </c>
      <c r="Q3">
        <f>P3*Constants!$B$3</f>
        <v>12.599999999999998</v>
      </c>
      <c r="R3">
        <f t="shared" ref="R3:R47" si="3">IF(Q3-N3&lt;=0, 0, Q3-N3)</f>
        <v>7.4999999999999982</v>
      </c>
      <c r="S3">
        <f t="shared" ref="S3:S47" si="4">I3-P3</f>
        <v>18.66</v>
      </c>
      <c r="T3">
        <f>S3*Constants!$B$2</f>
        <v>52.247999999999998</v>
      </c>
      <c r="V3">
        <f t="shared" ref="V3:V47" si="5">IF(B3="E",1,0)</f>
        <v>0</v>
      </c>
      <c r="W3">
        <f t="shared" ref="W3:W47" si="6">IF(B3=10,1,0)</f>
        <v>0</v>
      </c>
      <c r="AA3" s="8"/>
      <c r="AJ3" s="4"/>
    </row>
    <row r="4" spans="1:40" x14ac:dyDescent="0.25">
      <c r="A4">
        <v>3</v>
      </c>
      <c r="B4">
        <v>9</v>
      </c>
      <c r="C4" t="s">
        <v>57</v>
      </c>
      <c r="D4" s="16" t="s">
        <v>198</v>
      </c>
      <c r="E4" s="16" t="s">
        <v>197</v>
      </c>
      <c r="F4">
        <v>2.4</v>
      </c>
      <c r="G4" t="s">
        <v>44</v>
      </c>
      <c r="H4">
        <v>0</v>
      </c>
      <c r="I4">
        <v>6.55</v>
      </c>
      <c r="L4">
        <f>Constants!$B$2</f>
        <v>2.8</v>
      </c>
      <c r="M4" t="str">
        <f t="shared" si="1"/>
        <v>N/A</v>
      </c>
      <c r="N4">
        <f>P4*Constants!$E$2</f>
        <v>0</v>
      </c>
      <c r="P4">
        <f t="shared" si="2"/>
        <v>0</v>
      </c>
      <c r="Q4">
        <f>P4*Constants!$B$3</f>
        <v>0</v>
      </c>
      <c r="R4">
        <f t="shared" si="3"/>
        <v>0</v>
      </c>
      <c r="S4">
        <f t="shared" si="4"/>
        <v>6.55</v>
      </c>
      <c r="T4">
        <f>S4*Constants!$B$2</f>
        <v>18.34</v>
      </c>
      <c r="V4">
        <f t="shared" si="5"/>
        <v>0</v>
      </c>
      <c r="W4">
        <f t="shared" si="6"/>
        <v>0</v>
      </c>
      <c r="AA4" s="8"/>
      <c r="AJ4" s="4"/>
    </row>
    <row r="5" spans="1:40" x14ac:dyDescent="0.25">
      <c r="A5">
        <v>4</v>
      </c>
      <c r="B5">
        <v>9</v>
      </c>
      <c r="C5" t="s">
        <v>49</v>
      </c>
      <c r="D5" s="16" t="s">
        <v>199</v>
      </c>
      <c r="F5">
        <v>24.58</v>
      </c>
      <c r="G5">
        <v>90</v>
      </c>
      <c r="H5">
        <v>3</v>
      </c>
      <c r="I5">
        <f t="shared" ref="I5:I7" si="7">21.66</f>
        <v>21.66</v>
      </c>
      <c r="L5">
        <f>Constants!$B$2</f>
        <v>2.8</v>
      </c>
      <c r="M5">
        <f t="shared" si="1"/>
        <v>90</v>
      </c>
      <c r="N5">
        <f>P5*Constants!$E$2</f>
        <v>5.0999999999999996</v>
      </c>
      <c r="P5">
        <f t="shared" si="2"/>
        <v>3</v>
      </c>
      <c r="Q5">
        <f>P5*Constants!$B$3</f>
        <v>12.599999999999998</v>
      </c>
      <c r="R5">
        <f t="shared" si="3"/>
        <v>7.4999999999999982</v>
      </c>
      <c r="S5">
        <f t="shared" si="4"/>
        <v>18.66</v>
      </c>
      <c r="T5">
        <f>S5*Constants!$B$2</f>
        <v>52.247999999999998</v>
      </c>
      <c r="V5">
        <f t="shared" si="5"/>
        <v>0</v>
      </c>
      <c r="W5">
        <f t="shared" si="6"/>
        <v>0</v>
      </c>
      <c r="AA5" s="8"/>
      <c r="AJ5" s="4"/>
    </row>
    <row r="6" spans="1:40" x14ac:dyDescent="0.25">
      <c r="A6">
        <v>5</v>
      </c>
      <c r="B6">
        <v>9</v>
      </c>
      <c r="C6" t="s">
        <v>57</v>
      </c>
      <c r="D6" s="16" t="s">
        <v>200</v>
      </c>
      <c r="E6" s="16" t="s">
        <v>199</v>
      </c>
      <c r="F6">
        <v>2.4</v>
      </c>
      <c r="G6" t="s">
        <v>44</v>
      </c>
      <c r="H6">
        <v>0</v>
      </c>
      <c r="I6">
        <v>6.55</v>
      </c>
      <c r="L6">
        <f>Constants!$B$2</f>
        <v>2.8</v>
      </c>
      <c r="M6" t="str">
        <f t="shared" si="1"/>
        <v>N/A</v>
      </c>
      <c r="N6">
        <f>P6*Constants!$E$2</f>
        <v>0</v>
      </c>
      <c r="P6">
        <f t="shared" si="2"/>
        <v>0</v>
      </c>
      <c r="Q6">
        <f>P6*Constants!$B$3</f>
        <v>0</v>
      </c>
      <c r="R6">
        <f t="shared" si="3"/>
        <v>0</v>
      </c>
      <c r="S6">
        <f t="shared" si="4"/>
        <v>6.55</v>
      </c>
      <c r="T6">
        <f>S6*Constants!$B$2</f>
        <v>18.34</v>
      </c>
      <c r="V6">
        <f t="shared" si="5"/>
        <v>0</v>
      </c>
      <c r="W6">
        <f t="shared" si="6"/>
        <v>0</v>
      </c>
      <c r="AA6" s="8"/>
      <c r="AJ6" s="4"/>
    </row>
    <row r="7" spans="1:40" x14ac:dyDescent="0.25">
      <c r="A7">
        <v>6</v>
      </c>
      <c r="B7">
        <v>9</v>
      </c>
      <c r="C7" t="s">
        <v>49</v>
      </c>
      <c r="D7" s="16" t="s">
        <v>201</v>
      </c>
      <c r="F7">
        <v>24.58</v>
      </c>
      <c r="G7">
        <v>90</v>
      </c>
      <c r="H7">
        <v>3</v>
      </c>
      <c r="I7">
        <f t="shared" si="7"/>
        <v>21.66</v>
      </c>
      <c r="L7">
        <f>Constants!$B$2</f>
        <v>2.8</v>
      </c>
      <c r="M7">
        <f t="shared" si="1"/>
        <v>90</v>
      </c>
      <c r="N7">
        <f>P7*Constants!$E$2</f>
        <v>5.0999999999999996</v>
      </c>
      <c r="P7">
        <f t="shared" si="2"/>
        <v>3</v>
      </c>
      <c r="Q7">
        <f>P7*Constants!$B$3</f>
        <v>12.599999999999998</v>
      </c>
      <c r="R7">
        <f t="shared" si="3"/>
        <v>7.4999999999999982</v>
      </c>
      <c r="S7">
        <f t="shared" si="4"/>
        <v>18.66</v>
      </c>
      <c r="T7">
        <f>S7*Constants!$B$2</f>
        <v>52.247999999999998</v>
      </c>
      <c r="V7">
        <f t="shared" si="5"/>
        <v>0</v>
      </c>
      <c r="W7">
        <f t="shared" si="6"/>
        <v>0</v>
      </c>
      <c r="AA7" s="8"/>
      <c r="AJ7" s="4"/>
    </row>
    <row r="8" spans="1:40" x14ac:dyDescent="0.25">
      <c r="A8">
        <v>7</v>
      </c>
      <c r="B8">
        <v>9</v>
      </c>
      <c r="C8" t="s">
        <v>57</v>
      </c>
      <c r="D8" s="16" t="s">
        <v>202</v>
      </c>
      <c r="E8" s="16" t="s">
        <v>201</v>
      </c>
      <c r="F8">
        <v>2.4</v>
      </c>
      <c r="G8" t="s">
        <v>44</v>
      </c>
      <c r="H8">
        <v>0</v>
      </c>
      <c r="I8">
        <v>6.55</v>
      </c>
      <c r="L8">
        <f>Constants!$B$2</f>
        <v>2.8</v>
      </c>
      <c r="M8" t="str">
        <f t="shared" si="1"/>
        <v>N/A</v>
      </c>
      <c r="N8">
        <f>P8*Constants!$E$2</f>
        <v>0</v>
      </c>
      <c r="P8">
        <f t="shared" si="2"/>
        <v>0</v>
      </c>
      <c r="Q8">
        <f>P8*Constants!$B$3</f>
        <v>0</v>
      </c>
      <c r="R8">
        <f t="shared" si="3"/>
        <v>0</v>
      </c>
      <c r="S8">
        <f t="shared" si="4"/>
        <v>6.55</v>
      </c>
      <c r="T8">
        <f>S8*Constants!$B$2</f>
        <v>18.34</v>
      </c>
      <c r="V8">
        <f t="shared" si="5"/>
        <v>0</v>
      </c>
      <c r="W8">
        <f t="shared" si="6"/>
        <v>0</v>
      </c>
      <c r="AA8" s="8"/>
      <c r="AJ8" s="4"/>
    </row>
    <row r="9" spans="1:40" x14ac:dyDescent="0.25">
      <c r="A9">
        <v>8</v>
      </c>
      <c r="B9">
        <v>9</v>
      </c>
      <c r="C9" t="s">
        <v>62</v>
      </c>
      <c r="D9" s="16" t="s">
        <v>203</v>
      </c>
      <c r="F9">
        <v>113.11</v>
      </c>
      <c r="G9" t="s">
        <v>44</v>
      </c>
      <c r="H9">
        <v>0</v>
      </c>
      <c r="I9">
        <v>93.59</v>
      </c>
      <c r="L9">
        <f>Constants!$B$2</f>
        <v>2.8</v>
      </c>
      <c r="M9" t="str">
        <f t="shared" si="1"/>
        <v>N/A</v>
      </c>
      <c r="N9">
        <f>P9*Constants!$E$2</f>
        <v>0</v>
      </c>
      <c r="P9">
        <f t="shared" si="2"/>
        <v>0</v>
      </c>
      <c r="Q9">
        <f>P9*Constants!$B$3</f>
        <v>0</v>
      </c>
      <c r="R9">
        <f t="shared" si="3"/>
        <v>0</v>
      </c>
      <c r="S9">
        <f t="shared" si="4"/>
        <v>93.59</v>
      </c>
      <c r="T9">
        <f>S9*Constants!$B$2</f>
        <v>262.05200000000002</v>
      </c>
      <c r="V9">
        <f t="shared" si="5"/>
        <v>0</v>
      </c>
      <c r="W9">
        <f t="shared" si="6"/>
        <v>0</v>
      </c>
      <c r="AA9" s="8"/>
      <c r="AJ9" s="4"/>
    </row>
    <row r="10" spans="1:40" x14ac:dyDescent="0.25">
      <c r="A10">
        <v>9</v>
      </c>
      <c r="B10">
        <v>9</v>
      </c>
      <c r="C10" t="s">
        <v>49</v>
      </c>
      <c r="D10" s="16" t="s">
        <v>204</v>
      </c>
      <c r="F10">
        <v>20.49</v>
      </c>
      <c r="G10">
        <v>90</v>
      </c>
      <c r="H10">
        <v>3</v>
      </c>
      <c r="I10">
        <f>2*1.2*(2.5+6.5)</f>
        <v>21.599999999999998</v>
      </c>
      <c r="L10">
        <f>Constants!$B$2</f>
        <v>2.8</v>
      </c>
      <c r="M10">
        <f t="shared" si="1"/>
        <v>90</v>
      </c>
      <c r="N10">
        <f>P10*Constants!$E$2</f>
        <v>5.0999999999999996</v>
      </c>
      <c r="P10">
        <f t="shared" si="2"/>
        <v>3</v>
      </c>
      <c r="Q10">
        <f>P10*Constants!$B$3</f>
        <v>12.599999999999998</v>
      </c>
      <c r="R10">
        <f t="shared" si="3"/>
        <v>7.4999999999999982</v>
      </c>
      <c r="S10">
        <f t="shared" si="4"/>
        <v>18.599999999999998</v>
      </c>
      <c r="T10">
        <f>S10*Constants!$B$2</f>
        <v>52.079999999999991</v>
      </c>
      <c r="V10">
        <f t="shared" si="5"/>
        <v>0</v>
      </c>
      <c r="W10">
        <f t="shared" si="6"/>
        <v>0</v>
      </c>
      <c r="AA10" s="8"/>
      <c r="AJ10" s="4"/>
    </row>
    <row r="11" spans="1:40" x14ac:dyDescent="0.25">
      <c r="A11">
        <v>10</v>
      </c>
      <c r="B11">
        <v>9</v>
      </c>
      <c r="C11" t="s">
        <v>57</v>
      </c>
      <c r="D11" s="16" t="s">
        <v>205</v>
      </c>
      <c r="E11" s="16" t="s">
        <v>204</v>
      </c>
      <c r="F11">
        <v>2.4</v>
      </c>
      <c r="G11" t="s">
        <v>44</v>
      </c>
      <c r="H11">
        <v>0</v>
      </c>
      <c r="I11">
        <v>6.55</v>
      </c>
      <c r="L11">
        <f>Constants!$B$2</f>
        <v>2.8</v>
      </c>
      <c r="M11" t="str">
        <f t="shared" si="1"/>
        <v>N/A</v>
      </c>
      <c r="N11">
        <f>P11*Constants!$E$2</f>
        <v>0</v>
      </c>
      <c r="P11">
        <f t="shared" si="2"/>
        <v>0</v>
      </c>
      <c r="Q11">
        <f>P11*Constants!$B$3</f>
        <v>0</v>
      </c>
      <c r="R11">
        <f t="shared" si="3"/>
        <v>0</v>
      </c>
      <c r="S11">
        <f t="shared" si="4"/>
        <v>6.55</v>
      </c>
      <c r="T11">
        <f>S11*Constants!$B$2</f>
        <v>18.34</v>
      </c>
      <c r="V11">
        <f t="shared" si="5"/>
        <v>0</v>
      </c>
      <c r="W11">
        <f t="shared" si="6"/>
        <v>0</v>
      </c>
      <c r="AA11" s="8"/>
      <c r="AJ11" s="4"/>
    </row>
    <row r="12" spans="1:40" x14ac:dyDescent="0.25">
      <c r="A12">
        <v>11</v>
      </c>
      <c r="B12">
        <v>9</v>
      </c>
      <c r="C12" t="s">
        <v>49</v>
      </c>
      <c r="D12" s="16" t="s">
        <v>206</v>
      </c>
      <c r="F12">
        <v>19.18</v>
      </c>
      <c r="G12">
        <v>90</v>
      </c>
      <c r="H12">
        <v>2.9</v>
      </c>
      <c r="I12">
        <f>2*1.2*(2.5+6.5)</f>
        <v>21.599999999999998</v>
      </c>
      <c r="L12">
        <f>Constants!$B$2</f>
        <v>2.8</v>
      </c>
      <c r="M12">
        <f t="shared" si="1"/>
        <v>90</v>
      </c>
      <c r="N12">
        <f>P12*Constants!$E$2</f>
        <v>4.93</v>
      </c>
      <c r="P12">
        <f t="shared" si="2"/>
        <v>2.9</v>
      </c>
      <c r="Q12">
        <f>P12*Constants!$B$3</f>
        <v>12.179999999999998</v>
      </c>
      <c r="R12">
        <f t="shared" si="3"/>
        <v>7.2499999999999982</v>
      </c>
      <c r="S12">
        <f t="shared" si="4"/>
        <v>18.7</v>
      </c>
      <c r="T12">
        <f>S12*Constants!$B$2</f>
        <v>52.359999999999992</v>
      </c>
      <c r="V12">
        <f t="shared" si="5"/>
        <v>0</v>
      </c>
      <c r="W12">
        <f t="shared" si="6"/>
        <v>0</v>
      </c>
      <c r="AA12" s="8"/>
      <c r="AJ12" s="4"/>
    </row>
    <row r="13" spans="1:40" x14ac:dyDescent="0.25">
      <c r="A13">
        <v>12</v>
      </c>
      <c r="B13">
        <v>9</v>
      </c>
      <c r="C13" t="s">
        <v>57</v>
      </c>
      <c r="D13" s="16" t="s">
        <v>207</v>
      </c>
      <c r="E13" s="16" t="s">
        <v>206</v>
      </c>
      <c r="F13">
        <v>2.4</v>
      </c>
      <c r="G13" t="s">
        <v>44</v>
      </c>
      <c r="H13">
        <v>0</v>
      </c>
      <c r="I13">
        <v>6.55</v>
      </c>
      <c r="L13">
        <f>Constants!$B$2</f>
        <v>2.8</v>
      </c>
      <c r="M13" t="str">
        <f t="shared" ref="M13" si="8">IF(N13&gt;0,G13,"N/A")</f>
        <v>N/A</v>
      </c>
      <c r="N13">
        <f>P13*Constants!$E$2</f>
        <v>0</v>
      </c>
      <c r="P13">
        <f t="shared" ref="P13" si="9">H13</f>
        <v>0</v>
      </c>
      <c r="Q13">
        <f>P13*Constants!$B$3</f>
        <v>0</v>
      </c>
      <c r="R13">
        <f t="shared" ref="R13" si="10">IF(Q13-N13&lt;=0, 0, Q13-N13)</f>
        <v>0</v>
      </c>
      <c r="S13">
        <f t="shared" ref="S13" si="11">I13-P13</f>
        <v>6.55</v>
      </c>
      <c r="T13">
        <f>S13*Constants!$B$2</f>
        <v>18.34</v>
      </c>
      <c r="V13">
        <f t="shared" ref="V13" si="12">IF(B13="E",1,0)</f>
        <v>0</v>
      </c>
      <c r="W13">
        <f t="shared" ref="W13" si="13">IF(B13=10,1,0)</f>
        <v>0</v>
      </c>
      <c r="AA13" s="8"/>
      <c r="AJ13" s="4"/>
    </row>
    <row r="14" spans="1:40" x14ac:dyDescent="0.25">
      <c r="A14">
        <v>13</v>
      </c>
      <c r="B14">
        <v>9</v>
      </c>
      <c r="C14" t="s">
        <v>49</v>
      </c>
      <c r="D14" s="16" t="s">
        <v>236</v>
      </c>
      <c r="E14" s="16"/>
      <c r="F14">
        <v>19.18</v>
      </c>
      <c r="G14">
        <v>90</v>
      </c>
      <c r="H14">
        <v>2.9</v>
      </c>
      <c r="I14">
        <f>2*1.2*(2.5+6.5)</f>
        <v>21.599999999999998</v>
      </c>
      <c r="L14">
        <f>Constants!$B$2</f>
        <v>2.8</v>
      </c>
      <c r="M14">
        <f t="shared" si="1"/>
        <v>90</v>
      </c>
      <c r="N14">
        <f>P14*Constants!$E$2</f>
        <v>4.93</v>
      </c>
      <c r="P14">
        <f t="shared" si="2"/>
        <v>2.9</v>
      </c>
      <c r="Q14">
        <f>P14*Constants!$B$3</f>
        <v>12.179999999999998</v>
      </c>
      <c r="R14">
        <f t="shared" si="3"/>
        <v>7.2499999999999982</v>
      </c>
      <c r="S14">
        <f t="shared" si="4"/>
        <v>18.7</v>
      </c>
      <c r="T14">
        <f>S14*Constants!$B$2</f>
        <v>52.359999999999992</v>
      </c>
      <c r="V14">
        <f t="shared" si="5"/>
        <v>0</v>
      </c>
      <c r="W14">
        <f t="shared" si="6"/>
        <v>0</v>
      </c>
      <c r="AA14" s="8"/>
      <c r="AJ14" s="4"/>
    </row>
    <row r="15" spans="1:40" x14ac:dyDescent="0.25">
      <c r="A15">
        <v>14</v>
      </c>
      <c r="B15">
        <v>9</v>
      </c>
      <c r="C15" t="s">
        <v>57</v>
      </c>
      <c r="D15" s="16" t="s">
        <v>237</v>
      </c>
      <c r="E15" s="16" t="s">
        <v>236</v>
      </c>
      <c r="F15">
        <v>2.4</v>
      </c>
      <c r="G15" t="s">
        <v>44</v>
      </c>
      <c r="H15">
        <v>0</v>
      </c>
      <c r="I15">
        <v>6.55</v>
      </c>
      <c r="L15">
        <f>Constants!$B$2</f>
        <v>2.8</v>
      </c>
      <c r="M15" t="str">
        <f t="shared" si="1"/>
        <v>N/A</v>
      </c>
      <c r="N15">
        <f>P15*Constants!$E$2</f>
        <v>0</v>
      </c>
      <c r="P15">
        <f t="shared" si="2"/>
        <v>0</v>
      </c>
      <c r="Q15">
        <f>P15*Constants!$B$3</f>
        <v>0</v>
      </c>
      <c r="R15">
        <f t="shared" si="3"/>
        <v>0</v>
      </c>
      <c r="S15">
        <f t="shared" si="4"/>
        <v>6.55</v>
      </c>
      <c r="T15">
        <f>S15*Constants!$B$2</f>
        <v>18.34</v>
      </c>
      <c r="V15">
        <f t="shared" si="5"/>
        <v>0</v>
      </c>
      <c r="W15">
        <f t="shared" si="6"/>
        <v>0</v>
      </c>
      <c r="AA15" s="8"/>
      <c r="AJ15" s="4"/>
    </row>
    <row r="16" spans="1:40" x14ac:dyDescent="0.25">
      <c r="A16">
        <v>15</v>
      </c>
      <c r="B16">
        <v>9</v>
      </c>
      <c r="C16" t="s">
        <v>49</v>
      </c>
      <c r="D16" s="16" t="s">
        <v>208</v>
      </c>
      <c r="F16">
        <v>20.49</v>
      </c>
      <c r="G16">
        <v>90</v>
      </c>
      <c r="H16">
        <v>3</v>
      </c>
      <c r="I16">
        <f>2*1.2*(2.5+6.5)</f>
        <v>21.599999999999998</v>
      </c>
      <c r="L16">
        <f>Constants!$B$2</f>
        <v>2.8</v>
      </c>
      <c r="M16">
        <f t="shared" si="1"/>
        <v>90</v>
      </c>
      <c r="N16">
        <f>P16*Constants!$E$2</f>
        <v>5.0999999999999996</v>
      </c>
      <c r="P16">
        <f t="shared" si="2"/>
        <v>3</v>
      </c>
      <c r="Q16">
        <f>P16*Constants!$B$3</f>
        <v>12.599999999999998</v>
      </c>
      <c r="R16">
        <f t="shared" si="3"/>
        <v>7.4999999999999982</v>
      </c>
      <c r="S16">
        <f t="shared" si="4"/>
        <v>18.599999999999998</v>
      </c>
      <c r="T16">
        <f>S16*Constants!$B$2</f>
        <v>52.079999999999991</v>
      </c>
      <c r="V16">
        <f t="shared" si="5"/>
        <v>0</v>
      </c>
      <c r="W16">
        <f t="shared" si="6"/>
        <v>0</v>
      </c>
      <c r="AA16" s="8"/>
      <c r="AJ16" s="4"/>
    </row>
    <row r="17" spans="1:36" x14ac:dyDescent="0.25">
      <c r="A17">
        <v>16</v>
      </c>
      <c r="B17">
        <v>9</v>
      </c>
      <c r="C17" t="s">
        <v>57</v>
      </c>
      <c r="D17" s="16" t="s">
        <v>238</v>
      </c>
      <c r="E17" s="16" t="s">
        <v>208</v>
      </c>
      <c r="F17">
        <v>2.4</v>
      </c>
      <c r="G17" t="s">
        <v>44</v>
      </c>
      <c r="H17">
        <v>0</v>
      </c>
      <c r="I17">
        <v>6.55</v>
      </c>
      <c r="L17">
        <f>Constants!$B$2</f>
        <v>2.8</v>
      </c>
      <c r="M17" t="str">
        <f t="shared" ref="M17" si="14">IF(N17&gt;0,G17,"N/A")</f>
        <v>N/A</v>
      </c>
      <c r="N17">
        <f>P17*Constants!$E$2</f>
        <v>0</v>
      </c>
      <c r="P17">
        <f t="shared" ref="P17" si="15">H17</f>
        <v>0</v>
      </c>
      <c r="Q17">
        <f>P17*Constants!$B$3</f>
        <v>0</v>
      </c>
      <c r="R17">
        <f t="shared" ref="R17" si="16">IF(Q17-N17&lt;=0, 0, Q17-N17)</f>
        <v>0</v>
      </c>
      <c r="S17">
        <f t="shared" ref="S17" si="17">I17-P17</f>
        <v>6.55</v>
      </c>
      <c r="T17">
        <f>S17*Constants!$B$2</f>
        <v>18.34</v>
      </c>
      <c r="V17">
        <f t="shared" ref="V17" si="18">IF(B17="E",1,0)</f>
        <v>0</v>
      </c>
      <c r="W17">
        <f t="shared" ref="W17" si="19">IF(B17=10,1,0)</f>
        <v>0</v>
      </c>
      <c r="AA17" s="8"/>
      <c r="AJ17" s="4"/>
    </row>
    <row r="18" spans="1:36" x14ac:dyDescent="0.25">
      <c r="A18">
        <v>17</v>
      </c>
      <c r="B18">
        <v>9</v>
      </c>
      <c r="C18" t="s">
        <v>49</v>
      </c>
      <c r="D18" s="16" t="s">
        <v>209</v>
      </c>
      <c r="F18">
        <v>24.58</v>
      </c>
      <c r="G18">
        <v>90</v>
      </c>
      <c r="H18">
        <v>3.6</v>
      </c>
      <c r="I18">
        <f>2*(3.6+7.9)</f>
        <v>23</v>
      </c>
      <c r="L18">
        <f>Constants!$B$2</f>
        <v>2.8</v>
      </c>
      <c r="M18">
        <f t="shared" si="1"/>
        <v>90</v>
      </c>
      <c r="N18">
        <f>P18*Constants!$E$2</f>
        <v>6.12</v>
      </c>
      <c r="P18">
        <f t="shared" si="2"/>
        <v>3.6</v>
      </c>
      <c r="Q18">
        <f>P18*Constants!$B$3</f>
        <v>15.119999999999997</v>
      </c>
      <c r="R18">
        <f t="shared" si="3"/>
        <v>8.9999999999999964</v>
      </c>
      <c r="S18">
        <f t="shared" si="4"/>
        <v>19.399999999999999</v>
      </c>
      <c r="T18">
        <f>S18*Constants!$B$2</f>
        <v>54.319999999999993</v>
      </c>
      <c r="V18">
        <f t="shared" si="5"/>
        <v>0</v>
      </c>
      <c r="W18">
        <f t="shared" si="6"/>
        <v>0</v>
      </c>
      <c r="AA18" s="8"/>
      <c r="AJ18" s="4"/>
    </row>
    <row r="19" spans="1:36" x14ac:dyDescent="0.25">
      <c r="A19">
        <v>18</v>
      </c>
      <c r="B19">
        <v>9</v>
      </c>
      <c r="C19" t="s">
        <v>57</v>
      </c>
      <c r="D19" s="16" t="s">
        <v>210</v>
      </c>
      <c r="E19" s="16" t="s">
        <v>209</v>
      </c>
      <c r="F19">
        <v>2.4</v>
      </c>
      <c r="G19" t="s">
        <v>44</v>
      </c>
      <c r="H19">
        <v>0</v>
      </c>
      <c r="I19">
        <v>6.55</v>
      </c>
      <c r="L19">
        <f>Constants!$B$2</f>
        <v>2.8</v>
      </c>
      <c r="M19" t="str">
        <f t="shared" si="1"/>
        <v>N/A</v>
      </c>
      <c r="N19">
        <f>P19*Constants!$E$2</f>
        <v>0</v>
      </c>
      <c r="P19">
        <f t="shared" si="2"/>
        <v>0</v>
      </c>
      <c r="Q19">
        <f>P19*Constants!$B$3</f>
        <v>0</v>
      </c>
      <c r="R19">
        <f t="shared" si="3"/>
        <v>0</v>
      </c>
      <c r="S19">
        <f t="shared" si="4"/>
        <v>6.55</v>
      </c>
      <c r="T19">
        <f>S19*Constants!$B$2</f>
        <v>18.34</v>
      </c>
      <c r="V19">
        <f t="shared" si="5"/>
        <v>0</v>
      </c>
      <c r="W19">
        <f t="shared" si="6"/>
        <v>0</v>
      </c>
      <c r="AA19" s="8"/>
      <c r="AJ19" s="4"/>
    </row>
    <row r="20" spans="1:36" x14ac:dyDescent="0.25">
      <c r="A20">
        <v>19</v>
      </c>
      <c r="B20">
        <v>9</v>
      </c>
      <c r="C20" t="s">
        <v>49</v>
      </c>
      <c r="D20" s="16" t="s">
        <v>211</v>
      </c>
      <c r="F20">
        <v>24.58</v>
      </c>
      <c r="G20">
        <v>90</v>
      </c>
      <c r="H20">
        <v>3.6</v>
      </c>
      <c r="I20">
        <f>2*(3.6+7.9)</f>
        <v>23</v>
      </c>
      <c r="L20">
        <f>Constants!$B$2</f>
        <v>2.8</v>
      </c>
      <c r="M20">
        <f t="shared" si="1"/>
        <v>90</v>
      </c>
      <c r="N20">
        <f>P20*Constants!$E$2</f>
        <v>6.12</v>
      </c>
      <c r="P20">
        <f t="shared" si="2"/>
        <v>3.6</v>
      </c>
      <c r="Q20">
        <f>P20*Constants!$B$3</f>
        <v>15.119999999999997</v>
      </c>
      <c r="R20">
        <f t="shared" si="3"/>
        <v>8.9999999999999964</v>
      </c>
      <c r="S20">
        <f t="shared" si="4"/>
        <v>19.399999999999999</v>
      </c>
      <c r="T20">
        <f>S20*Constants!$B$2</f>
        <v>54.319999999999993</v>
      </c>
      <c r="V20">
        <f t="shared" si="5"/>
        <v>0</v>
      </c>
      <c r="W20">
        <f t="shared" si="6"/>
        <v>0</v>
      </c>
      <c r="AA20" s="8"/>
      <c r="AJ20" s="4"/>
    </row>
    <row r="21" spans="1:36" x14ac:dyDescent="0.25">
      <c r="A21">
        <v>20</v>
      </c>
      <c r="B21">
        <v>9</v>
      </c>
      <c r="C21" t="s">
        <v>57</v>
      </c>
      <c r="D21" s="16" t="s">
        <v>212</v>
      </c>
      <c r="E21" s="16" t="s">
        <v>211</v>
      </c>
      <c r="F21">
        <v>2.4</v>
      </c>
      <c r="G21" t="s">
        <v>44</v>
      </c>
      <c r="H21">
        <v>0</v>
      </c>
      <c r="I21">
        <v>6.55</v>
      </c>
      <c r="L21">
        <f>Constants!$B$2</f>
        <v>2.8</v>
      </c>
      <c r="M21" t="str">
        <f t="shared" si="1"/>
        <v>N/A</v>
      </c>
      <c r="N21">
        <f>P21*Constants!$E$2</f>
        <v>0</v>
      </c>
      <c r="P21">
        <f t="shared" si="2"/>
        <v>0</v>
      </c>
      <c r="Q21">
        <f>P21*Constants!$B$3</f>
        <v>0</v>
      </c>
      <c r="R21">
        <f t="shared" si="3"/>
        <v>0</v>
      </c>
      <c r="S21">
        <f t="shared" si="4"/>
        <v>6.55</v>
      </c>
      <c r="T21">
        <f>S21*Constants!$B$2</f>
        <v>18.34</v>
      </c>
      <c r="V21">
        <f t="shared" si="5"/>
        <v>0</v>
      </c>
      <c r="W21">
        <f t="shared" si="6"/>
        <v>0</v>
      </c>
      <c r="AA21" s="8"/>
      <c r="AJ21" s="4"/>
    </row>
    <row r="22" spans="1:36" x14ac:dyDescent="0.25">
      <c r="A22">
        <v>21</v>
      </c>
      <c r="B22">
        <v>9</v>
      </c>
      <c r="C22" t="s">
        <v>49</v>
      </c>
      <c r="D22" s="16" t="s">
        <v>213</v>
      </c>
      <c r="E22" s="16"/>
      <c r="F22">
        <v>24.76</v>
      </c>
      <c r="G22">
        <v>90</v>
      </c>
      <c r="H22">
        <f>3.6+3.3</f>
        <v>6.9</v>
      </c>
      <c r="I22">
        <f>2*(3.6+7.9)</f>
        <v>23</v>
      </c>
      <c r="L22">
        <f>Constants!$B$2</f>
        <v>2.8</v>
      </c>
      <c r="M22">
        <f t="shared" si="1"/>
        <v>90</v>
      </c>
      <c r="N22">
        <f>P22*Constants!$E$2</f>
        <v>11.73</v>
      </c>
      <c r="P22">
        <f t="shared" si="2"/>
        <v>6.9</v>
      </c>
      <c r="Q22">
        <f>P22*Constants!$B$3</f>
        <v>28.979999999999997</v>
      </c>
      <c r="R22">
        <f t="shared" si="3"/>
        <v>17.249999999999996</v>
      </c>
      <c r="S22">
        <f t="shared" si="4"/>
        <v>16.100000000000001</v>
      </c>
      <c r="T22">
        <f>S22*Constants!$B$2</f>
        <v>45.08</v>
      </c>
      <c r="V22">
        <f t="shared" si="5"/>
        <v>0</v>
      </c>
      <c r="W22">
        <f t="shared" si="6"/>
        <v>0</v>
      </c>
      <c r="AA22" s="8"/>
      <c r="AJ22" s="4"/>
    </row>
    <row r="23" spans="1:36" x14ac:dyDescent="0.25">
      <c r="A23">
        <v>22</v>
      </c>
      <c r="B23">
        <v>9</v>
      </c>
      <c r="C23" t="s">
        <v>57</v>
      </c>
      <c r="D23" s="16" t="s">
        <v>214</v>
      </c>
      <c r="E23" s="16" t="s">
        <v>213</v>
      </c>
      <c r="F23">
        <v>2.4</v>
      </c>
      <c r="G23" t="s">
        <v>44</v>
      </c>
      <c r="H23">
        <v>0</v>
      </c>
      <c r="I23">
        <v>6.55</v>
      </c>
      <c r="L23">
        <f>Constants!$B$2</f>
        <v>2.8</v>
      </c>
      <c r="M23" t="str">
        <f t="shared" si="1"/>
        <v>N/A</v>
      </c>
      <c r="N23">
        <f>P23*Constants!$E$2</f>
        <v>0</v>
      </c>
      <c r="P23">
        <f t="shared" si="2"/>
        <v>0</v>
      </c>
      <c r="Q23">
        <f>P23*Constants!$B$3</f>
        <v>0</v>
      </c>
      <c r="R23">
        <f t="shared" si="3"/>
        <v>0</v>
      </c>
      <c r="S23">
        <f t="shared" si="4"/>
        <v>6.55</v>
      </c>
      <c r="T23">
        <f>S23*Constants!$B$2</f>
        <v>18.34</v>
      </c>
      <c r="V23">
        <f t="shared" si="5"/>
        <v>0</v>
      </c>
      <c r="W23">
        <f t="shared" si="6"/>
        <v>0</v>
      </c>
      <c r="AA23" s="8"/>
      <c r="AJ23" s="4"/>
    </row>
    <row r="24" spans="1:36" x14ac:dyDescent="0.25">
      <c r="A24">
        <v>23</v>
      </c>
      <c r="B24">
        <v>9</v>
      </c>
      <c r="C24" t="s">
        <v>64</v>
      </c>
      <c r="D24" s="16" t="s">
        <v>215</v>
      </c>
      <c r="F24">
        <v>3.72</v>
      </c>
      <c r="G24">
        <v>90</v>
      </c>
      <c r="H24">
        <v>1.3</v>
      </c>
      <c r="I24">
        <f>2*(2.8+1.3)</f>
        <v>8.1999999999999993</v>
      </c>
      <c r="L24">
        <f>Constants!$B$2</f>
        <v>2.8</v>
      </c>
      <c r="M24">
        <f t="shared" si="1"/>
        <v>90</v>
      </c>
      <c r="N24">
        <f>P24*Constants!$E$2</f>
        <v>2.21</v>
      </c>
      <c r="P24">
        <f t="shared" si="2"/>
        <v>1.3</v>
      </c>
      <c r="Q24">
        <f>P24*Constants!$B$3</f>
        <v>5.4599999999999991</v>
      </c>
      <c r="R24">
        <f t="shared" si="3"/>
        <v>3.2499999999999991</v>
      </c>
      <c r="S24">
        <f t="shared" si="4"/>
        <v>6.8999999999999995</v>
      </c>
      <c r="T24">
        <f>S24*Constants!$B$2</f>
        <v>19.319999999999997</v>
      </c>
      <c r="V24">
        <f t="shared" si="5"/>
        <v>0</v>
      </c>
      <c r="W24">
        <f t="shared" si="6"/>
        <v>0</v>
      </c>
      <c r="AA24" s="8"/>
      <c r="AJ24" s="4"/>
    </row>
    <row r="25" spans="1:36" x14ac:dyDescent="0.25">
      <c r="A25">
        <v>24</v>
      </c>
      <c r="B25">
        <v>9</v>
      </c>
      <c r="C25" t="s">
        <v>64</v>
      </c>
      <c r="D25" s="16" t="s">
        <v>216</v>
      </c>
      <c r="F25">
        <v>3.72</v>
      </c>
      <c r="G25">
        <v>90</v>
      </c>
      <c r="H25">
        <v>1.3</v>
      </c>
      <c r="I25">
        <f>2*(2.8+1.3)</f>
        <v>8.1999999999999993</v>
      </c>
      <c r="L25">
        <f>Constants!$B$2</f>
        <v>2.8</v>
      </c>
      <c r="M25">
        <f t="shared" si="1"/>
        <v>90</v>
      </c>
      <c r="N25">
        <f>P25*Constants!$E$2</f>
        <v>2.21</v>
      </c>
      <c r="P25">
        <f t="shared" si="2"/>
        <v>1.3</v>
      </c>
      <c r="Q25">
        <f>P25*Constants!$B$3</f>
        <v>5.4599999999999991</v>
      </c>
      <c r="R25">
        <f t="shared" si="3"/>
        <v>3.2499999999999991</v>
      </c>
      <c r="S25">
        <f t="shared" si="4"/>
        <v>6.8999999999999995</v>
      </c>
      <c r="T25">
        <f>S25*Constants!$B$2</f>
        <v>19.319999999999997</v>
      </c>
      <c r="V25">
        <f t="shared" si="5"/>
        <v>0</v>
      </c>
      <c r="W25">
        <f t="shared" si="6"/>
        <v>0</v>
      </c>
      <c r="AA25" s="8"/>
      <c r="AJ25" s="4"/>
    </row>
    <row r="26" spans="1:36" x14ac:dyDescent="0.25">
      <c r="A26">
        <v>25</v>
      </c>
      <c r="B26">
        <v>9</v>
      </c>
      <c r="C26" t="s">
        <v>49</v>
      </c>
      <c r="D26" s="16" t="s">
        <v>217</v>
      </c>
      <c r="F26">
        <v>24.75</v>
      </c>
      <c r="G26">
        <v>270</v>
      </c>
      <c r="H26">
        <f>3.6+3.3</f>
        <v>6.9</v>
      </c>
      <c r="I26">
        <f>2*(3.6+7.9)</f>
        <v>23</v>
      </c>
      <c r="L26">
        <f>Constants!$B$2</f>
        <v>2.8</v>
      </c>
      <c r="M26">
        <f t="shared" si="1"/>
        <v>270</v>
      </c>
      <c r="N26">
        <f>P26*Constants!$E$2</f>
        <v>11.73</v>
      </c>
      <c r="P26">
        <f t="shared" si="2"/>
        <v>6.9</v>
      </c>
      <c r="Q26">
        <f>P26*Constants!$B$3</f>
        <v>28.979999999999997</v>
      </c>
      <c r="R26">
        <f t="shared" si="3"/>
        <v>17.249999999999996</v>
      </c>
      <c r="S26">
        <f t="shared" si="4"/>
        <v>16.100000000000001</v>
      </c>
      <c r="T26">
        <f>S26*Constants!$B$2</f>
        <v>45.08</v>
      </c>
      <c r="V26">
        <f t="shared" si="5"/>
        <v>0</v>
      </c>
      <c r="W26">
        <f t="shared" si="6"/>
        <v>0</v>
      </c>
      <c r="AA26" s="8"/>
      <c r="AJ26" s="4"/>
    </row>
    <row r="27" spans="1:36" x14ac:dyDescent="0.25">
      <c r="A27">
        <v>26</v>
      </c>
      <c r="B27">
        <v>9</v>
      </c>
      <c r="C27" t="s">
        <v>57</v>
      </c>
      <c r="D27" s="16" t="s">
        <v>218</v>
      </c>
      <c r="E27" s="16" t="s">
        <v>217</v>
      </c>
      <c r="F27">
        <v>2.4</v>
      </c>
      <c r="G27" t="s">
        <v>44</v>
      </c>
      <c r="H27">
        <v>0</v>
      </c>
      <c r="I27">
        <v>6.55</v>
      </c>
      <c r="L27">
        <f>Constants!$B$2</f>
        <v>2.8</v>
      </c>
      <c r="M27" t="str">
        <f t="shared" si="1"/>
        <v>N/A</v>
      </c>
      <c r="N27">
        <f>P27*Constants!$E$2</f>
        <v>0</v>
      </c>
      <c r="P27">
        <f t="shared" si="2"/>
        <v>0</v>
      </c>
      <c r="Q27">
        <f>P27*Constants!$B$3</f>
        <v>0</v>
      </c>
      <c r="R27">
        <f t="shared" si="3"/>
        <v>0</v>
      </c>
      <c r="S27">
        <f t="shared" si="4"/>
        <v>6.55</v>
      </c>
      <c r="T27">
        <f>S27*Constants!$B$2</f>
        <v>18.34</v>
      </c>
      <c r="V27">
        <f t="shared" si="5"/>
        <v>0</v>
      </c>
      <c r="W27">
        <f t="shared" si="6"/>
        <v>0</v>
      </c>
      <c r="AA27" s="8"/>
      <c r="AJ27" s="4"/>
    </row>
    <row r="28" spans="1:36" x14ac:dyDescent="0.25">
      <c r="A28">
        <v>27</v>
      </c>
      <c r="B28">
        <v>9</v>
      </c>
      <c r="C28" t="s">
        <v>49</v>
      </c>
      <c r="D28" s="16" t="s">
        <v>219</v>
      </c>
      <c r="F28">
        <v>24.58</v>
      </c>
      <c r="G28">
        <v>270</v>
      </c>
      <c r="H28">
        <v>3.6</v>
      </c>
      <c r="I28">
        <v>23</v>
      </c>
      <c r="L28">
        <f>Constants!$B$2</f>
        <v>2.8</v>
      </c>
      <c r="M28">
        <f t="shared" si="1"/>
        <v>270</v>
      </c>
      <c r="N28">
        <f>P28*Constants!$E$2</f>
        <v>6.12</v>
      </c>
      <c r="P28">
        <f t="shared" si="2"/>
        <v>3.6</v>
      </c>
      <c r="Q28">
        <f>P28*Constants!$B$3</f>
        <v>15.119999999999997</v>
      </c>
      <c r="R28">
        <f t="shared" si="3"/>
        <v>8.9999999999999964</v>
      </c>
      <c r="S28">
        <f t="shared" si="4"/>
        <v>19.399999999999999</v>
      </c>
      <c r="T28">
        <f>S28*Constants!$B$2</f>
        <v>54.319999999999993</v>
      </c>
      <c r="V28">
        <f t="shared" si="5"/>
        <v>0</v>
      </c>
      <c r="W28">
        <f t="shared" si="6"/>
        <v>0</v>
      </c>
      <c r="AA28" s="8"/>
      <c r="AJ28" s="4"/>
    </row>
    <row r="29" spans="1:36" x14ac:dyDescent="0.25">
      <c r="A29">
        <v>28</v>
      </c>
      <c r="B29">
        <v>9</v>
      </c>
      <c r="C29" t="s">
        <v>57</v>
      </c>
      <c r="D29" s="16" t="s">
        <v>220</v>
      </c>
      <c r="E29" s="16" t="s">
        <v>219</v>
      </c>
      <c r="F29">
        <v>2.4</v>
      </c>
      <c r="G29" t="s">
        <v>44</v>
      </c>
      <c r="H29">
        <v>0</v>
      </c>
      <c r="I29">
        <v>6.55</v>
      </c>
      <c r="L29">
        <f>Constants!$B$2</f>
        <v>2.8</v>
      </c>
      <c r="M29" t="str">
        <f t="shared" si="1"/>
        <v>N/A</v>
      </c>
      <c r="N29">
        <f>P29*Constants!$E$2</f>
        <v>0</v>
      </c>
      <c r="P29">
        <f t="shared" si="2"/>
        <v>0</v>
      </c>
      <c r="Q29">
        <f>P29*Constants!$B$3</f>
        <v>0</v>
      </c>
      <c r="R29">
        <f t="shared" si="3"/>
        <v>0</v>
      </c>
      <c r="S29">
        <f t="shared" si="4"/>
        <v>6.55</v>
      </c>
      <c r="T29">
        <f>S29*Constants!$B$2</f>
        <v>18.34</v>
      </c>
      <c r="V29">
        <f t="shared" si="5"/>
        <v>0</v>
      </c>
      <c r="W29">
        <f t="shared" si="6"/>
        <v>0</v>
      </c>
      <c r="AA29" s="8"/>
      <c r="AJ29" s="4"/>
    </row>
    <row r="30" spans="1:36" x14ac:dyDescent="0.25">
      <c r="A30">
        <v>29</v>
      </c>
      <c r="B30">
        <v>9</v>
      </c>
      <c r="C30" t="s">
        <v>49</v>
      </c>
      <c r="D30" s="16" t="s">
        <v>221</v>
      </c>
      <c r="F30">
        <v>24.57</v>
      </c>
      <c r="G30">
        <v>270</v>
      </c>
      <c r="H30">
        <v>3.6</v>
      </c>
      <c r="I30">
        <v>23</v>
      </c>
      <c r="L30">
        <f>Constants!$B$2</f>
        <v>2.8</v>
      </c>
      <c r="M30">
        <f t="shared" si="1"/>
        <v>270</v>
      </c>
      <c r="N30">
        <f>P30*Constants!$E$2</f>
        <v>6.12</v>
      </c>
      <c r="P30">
        <f t="shared" si="2"/>
        <v>3.6</v>
      </c>
      <c r="Q30">
        <f>P30*Constants!$B$3</f>
        <v>15.119999999999997</v>
      </c>
      <c r="R30">
        <f t="shared" si="3"/>
        <v>8.9999999999999964</v>
      </c>
      <c r="S30">
        <f t="shared" si="4"/>
        <v>19.399999999999999</v>
      </c>
      <c r="T30">
        <f>S30*Constants!$B$2</f>
        <v>54.319999999999993</v>
      </c>
      <c r="V30">
        <f t="shared" si="5"/>
        <v>0</v>
      </c>
      <c r="W30">
        <f t="shared" si="6"/>
        <v>0</v>
      </c>
      <c r="AA30" s="8"/>
      <c r="AJ30" s="4"/>
    </row>
    <row r="31" spans="1:36" x14ac:dyDescent="0.25">
      <c r="A31">
        <v>30</v>
      </c>
      <c r="B31">
        <v>9</v>
      </c>
      <c r="C31" t="s">
        <v>57</v>
      </c>
      <c r="D31" s="16" t="s">
        <v>235</v>
      </c>
      <c r="E31" s="16" t="s">
        <v>221</v>
      </c>
      <c r="F31">
        <v>2.4</v>
      </c>
      <c r="G31" t="s">
        <v>44</v>
      </c>
      <c r="H31">
        <v>0</v>
      </c>
      <c r="I31">
        <v>6.55</v>
      </c>
      <c r="L31">
        <f>Constants!$B$2</f>
        <v>2.8</v>
      </c>
      <c r="M31" t="str">
        <f t="shared" si="1"/>
        <v>N/A</v>
      </c>
      <c r="N31">
        <f>P31*Constants!$E$2</f>
        <v>0</v>
      </c>
      <c r="P31">
        <f t="shared" si="2"/>
        <v>0</v>
      </c>
      <c r="Q31">
        <f>P31*Constants!$B$3</f>
        <v>0</v>
      </c>
      <c r="R31">
        <f t="shared" si="3"/>
        <v>0</v>
      </c>
      <c r="S31">
        <f t="shared" si="4"/>
        <v>6.55</v>
      </c>
      <c r="T31">
        <f>S31*Constants!$B$2</f>
        <v>18.34</v>
      </c>
      <c r="V31">
        <f t="shared" si="5"/>
        <v>0</v>
      </c>
      <c r="W31">
        <f t="shared" si="6"/>
        <v>0</v>
      </c>
      <c r="AA31" s="8"/>
      <c r="AJ31" s="4"/>
    </row>
    <row r="32" spans="1:36" x14ac:dyDescent="0.25">
      <c r="A32">
        <v>31</v>
      </c>
      <c r="B32">
        <v>9</v>
      </c>
      <c r="C32" t="s">
        <v>49</v>
      </c>
      <c r="D32" s="16" t="s">
        <v>223</v>
      </c>
      <c r="F32">
        <v>20.49</v>
      </c>
      <c r="G32">
        <v>270</v>
      </c>
      <c r="H32">
        <v>2.9</v>
      </c>
      <c r="I32">
        <v>23</v>
      </c>
      <c r="L32">
        <f>Constants!$B$2</f>
        <v>2.8</v>
      </c>
      <c r="M32">
        <f t="shared" si="1"/>
        <v>270</v>
      </c>
      <c r="N32">
        <f>P32*Constants!$E$2</f>
        <v>4.93</v>
      </c>
      <c r="P32">
        <f t="shared" si="2"/>
        <v>2.9</v>
      </c>
      <c r="Q32">
        <f>P32*Constants!$B$3</f>
        <v>12.179999999999998</v>
      </c>
      <c r="R32">
        <f t="shared" si="3"/>
        <v>7.2499999999999982</v>
      </c>
      <c r="S32">
        <f t="shared" si="4"/>
        <v>20.100000000000001</v>
      </c>
      <c r="T32">
        <f>S32*Constants!$B$2</f>
        <v>56.28</v>
      </c>
      <c r="V32">
        <f t="shared" si="5"/>
        <v>0</v>
      </c>
      <c r="W32">
        <f t="shared" si="6"/>
        <v>0</v>
      </c>
      <c r="AA32" s="8"/>
      <c r="AJ32" s="4"/>
    </row>
    <row r="33" spans="1:36" x14ac:dyDescent="0.25">
      <c r="A33">
        <v>32</v>
      </c>
      <c r="B33">
        <v>9</v>
      </c>
      <c r="C33" t="s">
        <v>57</v>
      </c>
      <c r="D33" s="16" t="s">
        <v>239</v>
      </c>
      <c r="E33" s="16" t="s">
        <v>223</v>
      </c>
      <c r="F33">
        <v>2.4</v>
      </c>
      <c r="G33" t="s">
        <v>44</v>
      </c>
      <c r="H33">
        <v>0</v>
      </c>
      <c r="I33">
        <v>6.55</v>
      </c>
      <c r="L33">
        <f>Constants!$B$2</f>
        <v>2.8</v>
      </c>
      <c r="M33" t="str">
        <f t="shared" si="1"/>
        <v>N/A</v>
      </c>
      <c r="N33">
        <f>P33*Constants!$E$2</f>
        <v>0</v>
      </c>
      <c r="P33">
        <f t="shared" si="2"/>
        <v>0</v>
      </c>
      <c r="Q33">
        <f>P33*Constants!$B$3</f>
        <v>0</v>
      </c>
      <c r="R33">
        <f t="shared" si="3"/>
        <v>0</v>
      </c>
      <c r="S33">
        <f t="shared" si="4"/>
        <v>6.55</v>
      </c>
      <c r="T33">
        <f>S33*Constants!$B$2</f>
        <v>18.34</v>
      </c>
      <c r="V33">
        <f t="shared" si="5"/>
        <v>0</v>
      </c>
      <c r="W33">
        <f t="shared" si="6"/>
        <v>0</v>
      </c>
      <c r="AA33" s="8"/>
      <c r="AJ33" s="4"/>
    </row>
    <row r="34" spans="1:36" x14ac:dyDescent="0.25">
      <c r="A34">
        <v>33</v>
      </c>
      <c r="B34">
        <v>9</v>
      </c>
      <c r="C34" t="s">
        <v>49</v>
      </c>
      <c r="D34" s="16" t="s">
        <v>224</v>
      </c>
      <c r="F34">
        <v>19.18</v>
      </c>
      <c r="G34">
        <v>270</v>
      </c>
      <c r="H34">
        <f>1.2*2.5</f>
        <v>3</v>
      </c>
      <c r="I34">
        <v>23</v>
      </c>
      <c r="L34">
        <f>Constants!$B$2</f>
        <v>2.8</v>
      </c>
      <c r="M34">
        <f t="shared" si="1"/>
        <v>270</v>
      </c>
      <c r="N34">
        <f>P34*Constants!$E$2</f>
        <v>5.0999999999999996</v>
      </c>
      <c r="P34">
        <f t="shared" si="2"/>
        <v>3</v>
      </c>
      <c r="Q34">
        <f>P34*Constants!$B$3</f>
        <v>12.599999999999998</v>
      </c>
      <c r="R34">
        <f t="shared" si="3"/>
        <v>7.4999999999999982</v>
      </c>
      <c r="S34">
        <f t="shared" si="4"/>
        <v>20</v>
      </c>
      <c r="T34">
        <f>S34*Constants!$B$2</f>
        <v>56</v>
      </c>
      <c r="V34">
        <f t="shared" si="5"/>
        <v>0</v>
      </c>
      <c r="W34">
        <f t="shared" si="6"/>
        <v>0</v>
      </c>
      <c r="AA34" s="8"/>
      <c r="AJ34" s="4"/>
    </row>
    <row r="35" spans="1:36" x14ac:dyDescent="0.25">
      <c r="A35">
        <v>34</v>
      </c>
      <c r="B35">
        <v>9</v>
      </c>
      <c r="C35" t="s">
        <v>57</v>
      </c>
      <c r="D35" s="16" t="s">
        <v>222</v>
      </c>
      <c r="E35" s="16" t="s">
        <v>224</v>
      </c>
      <c r="F35">
        <v>2.4</v>
      </c>
      <c r="G35" t="s">
        <v>44</v>
      </c>
      <c r="H35">
        <v>0</v>
      </c>
      <c r="I35">
        <v>6.55</v>
      </c>
      <c r="L35">
        <f>Constants!$B$2</f>
        <v>2.8</v>
      </c>
      <c r="M35" t="str">
        <f t="shared" ref="M35" si="20">IF(N35&gt;0,G35,"N/A")</f>
        <v>N/A</v>
      </c>
      <c r="N35">
        <f>P35*Constants!$E$2</f>
        <v>0</v>
      </c>
      <c r="P35">
        <f t="shared" ref="P35" si="21">H35</f>
        <v>0</v>
      </c>
      <c r="Q35">
        <f>P35*Constants!$B$3</f>
        <v>0</v>
      </c>
      <c r="R35">
        <f t="shared" ref="R35" si="22">IF(Q35-N35&lt;=0, 0, Q35-N35)</f>
        <v>0</v>
      </c>
      <c r="S35">
        <f t="shared" ref="S35" si="23">I35-P35</f>
        <v>6.55</v>
      </c>
      <c r="T35">
        <f>S35*Constants!$B$2</f>
        <v>18.34</v>
      </c>
      <c r="V35">
        <f t="shared" ref="V35" si="24">IF(B35="E",1,0)</f>
        <v>0</v>
      </c>
      <c r="W35">
        <f t="shared" ref="W35" si="25">IF(B35=10,1,0)</f>
        <v>0</v>
      </c>
      <c r="AA35" s="8"/>
      <c r="AJ35" s="4"/>
    </row>
    <row r="36" spans="1:36" x14ac:dyDescent="0.25">
      <c r="A36">
        <v>35</v>
      </c>
      <c r="B36">
        <v>9</v>
      </c>
      <c r="C36" t="s">
        <v>49</v>
      </c>
      <c r="D36" s="16" t="s">
        <v>240</v>
      </c>
      <c r="F36">
        <v>19.18</v>
      </c>
      <c r="G36">
        <v>270</v>
      </c>
      <c r="H36">
        <v>3</v>
      </c>
      <c r="I36">
        <v>23</v>
      </c>
      <c r="L36">
        <f>Constants!$B$2</f>
        <v>2.8</v>
      </c>
      <c r="M36">
        <f t="shared" si="1"/>
        <v>270</v>
      </c>
      <c r="N36">
        <f>P36*Constants!$E$2</f>
        <v>5.0999999999999996</v>
      </c>
      <c r="P36">
        <f t="shared" si="2"/>
        <v>3</v>
      </c>
      <c r="Q36">
        <f>P36*Constants!$B$3</f>
        <v>12.599999999999998</v>
      </c>
      <c r="R36">
        <f t="shared" si="3"/>
        <v>7.4999999999999982</v>
      </c>
      <c r="S36">
        <f t="shared" si="4"/>
        <v>20</v>
      </c>
      <c r="T36">
        <f>S36*Constants!$B$2</f>
        <v>56</v>
      </c>
      <c r="V36">
        <f t="shared" si="5"/>
        <v>0</v>
      </c>
      <c r="W36">
        <f t="shared" si="6"/>
        <v>0</v>
      </c>
      <c r="AA36" s="8"/>
      <c r="AJ36" s="4"/>
    </row>
    <row r="37" spans="1:36" x14ac:dyDescent="0.25">
      <c r="A37">
        <v>36</v>
      </c>
      <c r="B37">
        <v>9</v>
      </c>
      <c r="C37" t="s">
        <v>57</v>
      </c>
      <c r="D37" s="16" t="s">
        <v>241</v>
      </c>
      <c r="E37" s="16" t="s">
        <v>240</v>
      </c>
      <c r="F37">
        <v>2.4</v>
      </c>
      <c r="G37" t="s">
        <v>44</v>
      </c>
      <c r="H37">
        <v>0</v>
      </c>
      <c r="I37">
        <v>6.55</v>
      </c>
      <c r="L37">
        <f>Constants!$B$2</f>
        <v>2.8</v>
      </c>
      <c r="M37" t="str">
        <f t="shared" si="1"/>
        <v>N/A</v>
      </c>
      <c r="N37">
        <f>P37*Constants!$E$2</f>
        <v>0</v>
      </c>
      <c r="P37">
        <f t="shared" si="2"/>
        <v>0</v>
      </c>
      <c r="Q37">
        <f>P37*Constants!$B$3</f>
        <v>0</v>
      </c>
      <c r="R37">
        <f t="shared" si="3"/>
        <v>0</v>
      </c>
      <c r="S37">
        <f t="shared" si="4"/>
        <v>6.55</v>
      </c>
      <c r="T37">
        <f>S37*Constants!$B$2</f>
        <v>18.34</v>
      </c>
      <c r="V37">
        <f t="shared" si="5"/>
        <v>0</v>
      </c>
      <c r="W37">
        <f t="shared" si="6"/>
        <v>0</v>
      </c>
      <c r="AA37" s="8"/>
      <c r="AJ37" s="4"/>
    </row>
    <row r="38" spans="1:36" x14ac:dyDescent="0.25">
      <c r="A38">
        <v>37</v>
      </c>
      <c r="B38">
        <v>9</v>
      </c>
      <c r="C38" t="s">
        <v>49</v>
      </c>
      <c r="D38" s="16" t="s">
        <v>225</v>
      </c>
      <c r="F38">
        <v>20.49</v>
      </c>
      <c r="G38">
        <v>270</v>
      </c>
      <c r="H38">
        <v>3</v>
      </c>
      <c r="I38">
        <v>23</v>
      </c>
      <c r="L38">
        <f>Constants!$B$2</f>
        <v>2.8</v>
      </c>
      <c r="M38">
        <f t="shared" si="1"/>
        <v>270</v>
      </c>
      <c r="N38">
        <f>P38*Constants!$E$2</f>
        <v>5.0999999999999996</v>
      </c>
      <c r="P38">
        <f t="shared" si="2"/>
        <v>3</v>
      </c>
      <c r="Q38">
        <f>P38*Constants!$B$3</f>
        <v>12.599999999999998</v>
      </c>
      <c r="R38">
        <f t="shared" si="3"/>
        <v>7.4999999999999982</v>
      </c>
      <c r="S38">
        <f t="shared" si="4"/>
        <v>20</v>
      </c>
      <c r="T38">
        <f>S38*Constants!$B$2</f>
        <v>56</v>
      </c>
      <c r="V38">
        <f t="shared" si="5"/>
        <v>0</v>
      </c>
      <c r="W38">
        <f t="shared" si="6"/>
        <v>0</v>
      </c>
      <c r="AA38" s="8"/>
      <c r="AJ38" s="4"/>
    </row>
    <row r="39" spans="1:36" x14ac:dyDescent="0.25">
      <c r="A39">
        <v>38</v>
      </c>
      <c r="B39">
        <v>9</v>
      </c>
      <c r="C39" t="s">
        <v>57</v>
      </c>
      <c r="D39" s="16" t="s">
        <v>226</v>
      </c>
      <c r="E39" s="16" t="s">
        <v>225</v>
      </c>
      <c r="F39">
        <v>2.4</v>
      </c>
      <c r="G39" t="s">
        <v>44</v>
      </c>
      <c r="H39">
        <v>0</v>
      </c>
      <c r="I39">
        <v>6.55</v>
      </c>
      <c r="L39">
        <f>Constants!$B$2</f>
        <v>2.8</v>
      </c>
      <c r="M39" t="str">
        <f t="shared" si="1"/>
        <v>N/A</v>
      </c>
      <c r="N39">
        <f>P39*Constants!$E$2</f>
        <v>0</v>
      </c>
      <c r="P39">
        <f t="shared" si="2"/>
        <v>0</v>
      </c>
      <c r="Q39">
        <f>P39*Constants!$B$3</f>
        <v>0</v>
      </c>
      <c r="R39">
        <f t="shared" si="3"/>
        <v>0</v>
      </c>
      <c r="S39">
        <f t="shared" si="4"/>
        <v>6.55</v>
      </c>
      <c r="T39">
        <f>S39*Constants!$B$2</f>
        <v>18.34</v>
      </c>
      <c r="V39">
        <f t="shared" si="5"/>
        <v>0</v>
      </c>
      <c r="W39">
        <f t="shared" si="6"/>
        <v>0</v>
      </c>
      <c r="AA39" s="8"/>
      <c r="AJ39" s="4"/>
    </row>
    <row r="40" spans="1:36" x14ac:dyDescent="0.25">
      <c r="A40">
        <v>39</v>
      </c>
      <c r="B40">
        <v>9</v>
      </c>
      <c r="C40" t="s">
        <v>49</v>
      </c>
      <c r="D40" s="16" t="s">
        <v>227</v>
      </c>
      <c r="F40">
        <v>24.58</v>
      </c>
      <c r="G40">
        <v>270</v>
      </c>
      <c r="H40">
        <v>3.6</v>
      </c>
      <c r="I40">
        <v>23</v>
      </c>
      <c r="L40">
        <f>Constants!$B$2</f>
        <v>2.8</v>
      </c>
      <c r="M40">
        <f t="shared" si="1"/>
        <v>270</v>
      </c>
      <c r="N40">
        <f>P40*Constants!$E$2</f>
        <v>6.12</v>
      </c>
      <c r="P40">
        <f t="shared" si="2"/>
        <v>3.6</v>
      </c>
      <c r="Q40">
        <f>P40*Constants!$B$3</f>
        <v>15.119999999999997</v>
      </c>
      <c r="R40">
        <f t="shared" si="3"/>
        <v>8.9999999999999964</v>
      </c>
      <c r="S40">
        <f t="shared" si="4"/>
        <v>19.399999999999999</v>
      </c>
      <c r="T40">
        <f>S40*Constants!$B$2</f>
        <v>54.319999999999993</v>
      </c>
      <c r="V40">
        <f t="shared" si="5"/>
        <v>0</v>
      </c>
      <c r="W40">
        <f t="shared" si="6"/>
        <v>0</v>
      </c>
      <c r="AA40" s="8"/>
      <c r="AJ40" s="4"/>
    </row>
    <row r="41" spans="1:36" x14ac:dyDescent="0.25">
      <c r="A41">
        <v>40</v>
      </c>
      <c r="B41">
        <v>9</v>
      </c>
      <c r="C41" t="s">
        <v>57</v>
      </c>
      <c r="D41" s="16" t="s">
        <v>228</v>
      </c>
      <c r="E41" s="16" t="s">
        <v>227</v>
      </c>
      <c r="F41">
        <v>2.4</v>
      </c>
      <c r="G41" t="s">
        <v>44</v>
      </c>
      <c r="H41">
        <v>0</v>
      </c>
      <c r="I41">
        <v>6.55</v>
      </c>
      <c r="L41">
        <f>Constants!$B$2</f>
        <v>2.8</v>
      </c>
      <c r="M41" t="str">
        <f t="shared" si="1"/>
        <v>N/A</v>
      </c>
      <c r="N41">
        <f>P41*Constants!$E$2</f>
        <v>0</v>
      </c>
      <c r="P41">
        <f t="shared" si="2"/>
        <v>0</v>
      </c>
      <c r="Q41">
        <f>P41*Constants!$B$3</f>
        <v>0</v>
      </c>
      <c r="R41">
        <f t="shared" si="3"/>
        <v>0</v>
      </c>
      <c r="S41">
        <f t="shared" si="4"/>
        <v>6.55</v>
      </c>
      <c r="T41">
        <f>S41*Constants!$B$2</f>
        <v>18.34</v>
      </c>
      <c r="V41">
        <f t="shared" si="5"/>
        <v>0</v>
      </c>
      <c r="W41">
        <f t="shared" si="6"/>
        <v>0</v>
      </c>
      <c r="AA41" s="8"/>
      <c r="AJ41" s="4"/>
    </row>
    <row r="42" spans="1:36" x14ac:dyDescent="0.25">
      <c r="A42">
        <v>41</v>
      </c>
      <c r="B42">
        <v>9</v>
      </c>
      <c r="C42" t="s">
        <v>49</v>
      </c>
      <c r="D42" s="16" t="s">
        <v>229</v>
      </c>
      <c r="F42">
        <v>24.58</v>
      </c>
      <c r="G42">
        <v>270</v>
      </c>
      <c r="H42">
        <v>3.6</v>
      </c>
      <c r="I42">
        <v>23</v>
      </c>
      <c r="L42">
        <f>Constants!$B$2</f>
        <v>2.8</v>
      </c>
      <c r="M42">
        <f t="shared" si="1"/>
        <v>270</v>
      </c>
      <c r="N42">
        <f>P42*Constants!$E$2</f>
        <v>6.12</v>
      </c>
      <c r="P42">
        <f t="shared" si="2"/>
        <v>3.6</v>
      </c>
      <c r="Q42">
        <f>P42*Constants!$B$3</f>
        <v>15.119999999999997</v>
      </c>
      <c r="R42">
        <f t="shared" si="3"/>
        <v>8.9999999999999964</v>
      </c>
      <c r="S42">
        <f t="shared" si="4"/>
        <v>19.399999999999999</v>
      </c>
      <c r="T42">
        <f>S42*Constants!$B$2</f>
        <v>54.319999999999993</v>
      </c>
      <c r="V42">
        <f t="shared" si="5"/>
        <v>0</v>
      </c>
      <c r="W42">
        <f t="shared" si="6"/>
        <v>0</v>
      </c>
      <c r="AA42" s="8"/>
      <c r="AJ42" s="4"/>
    </row>
    <row r="43" spans="1:36" x14ac:dyDescent="0.25">
      <c r="A43">
        <v>42</v>
      </c>
      <c r="B43">
        <v>9</v>
      </c>
      <c r="C43" t="s">
        <v>57</v>
      </c>
      <c r="D43" s="16" t="s">
        <v>230</v>
      </c>
      <c r="E43" s="16" t="s">
        <v>229</v>
      </c>
      <c r="F43">
        <v>2.4</v>
      </c>
      <c r="G43" t="s">
        <v>44</v>
      </c>
      <c r="H43">
        <v>0</v>
      </c>
      <c r="I43">
        <v>6.55</v>
      </c>
      <c r="L43">
        <f>Constants!$B$2</f>
        <v>2.8</v>
      </c>
      <c r="M43" t="str">
        <f t="shared" si="1"/>
        <v>N/A</v>
      </c>
      <c r="N43">
        <f>P43*Constants!$E$2</f>
        <v>0</v>
      </c>
      <c r="P43">
        <f t="shared" si="2"/>
        <v>0</v>
      </c>
      <c r="Q43">
        <f>P43*Constants!$B$3</f>
        <v>0</v>
      </c>
      <c r="R43">
        <f t="shared" si="3"/>
        <v>0</v>
      </c>
      <c r="S43">
        <f t="shared" si="4"/>
        <v>6.55</v>
      </c>
      <c r="T43">
        <f>S43*Constants!$B$2</f>
        <v>18.34</v>
      </c>
      <c r="V43">
        <f t="shared" si="5"/>
        <v>0</v>
      </c>
      <c r="W43">
        <f t="shared" si="6"/>
        <v>0</v>
      </c>
      <c r="AA43" s="8"/>
      <c r="AJ43" s="4"/>
    </row>
    <row r="44" spans="1:36" x14ac:dyDescent="0.25">
      <c r="A44">
        <v>43</v>
      </c>
      <c r="B44">
        <v>9</v>
      </c>
      <c r="C44" t="s">
        <v>49</v>
      </c>
      <c r="D44" s="16" t="s">
        <v>231</v>
      </c>
      <c r="F44">
        <v>24.76</v>
      </c>
      <c r="G44">
        <v>270</v>
      </c>
      <c r="H44">
        <v>3.6</v>
      </c>
      <c r="I44">
        <v>23</v>
      </c>
      <c r="L44">
        <f>Constants!$B$2</f>
        <v>2.8</v>
      </c>
      <c r="M44">
        <f t="shared" si="1"/>
        <v>270</v>
      </c>
      <c r="N44">
        <f>P44*Constants!$E$2</f>
        <v>6.12</v>
      </c>
      <c r="P44">
        <f t="shared" si="2"/>
        <v>3.6</v>
      </c>
      <c r="Q44">
        <f>P44*Constants!$B$3</f>
        <v>15.119999999999997</v>
      </c>
      <c r="R44">
        <f t="shared" si="3"/>
        <v>8.9999999999999964</v>
      </c>
      <c r="S44">
        <f t="shared" si="4"/>
        <v>19.399999999999999</v>
      </c>
      <c r="T44">
        <f>S44*Constants!$B$2</f>
        <v>54.319999999999993</v>
      </c>
      <c r="V44">
        <f t="shared" si="5"/>
        <v>0</v>
      </c>
      <c r="W44">
        <f t="shared" si="6"/>
        <v>0</v>
      </c>
      <c r="AA44" s="8"/>
      <c r="AJ44" s="4"/>
    </row>
    <row r="45" spans="1:36" x14ac:dyDescent="0.25">
      <c r="A45">
        <v>44</v>
      </c>
      <c r="B45">
        <v>9</v>
      </c>
      <c r="C45" t="s">
        <v>57</v>
      </c>
      <c r="D45" s="16" t="s">
        <v>232</v>
      </c>
      <c r="E45" s="16" t="s">
        <v>231</v>
      </c>
      <c r="F45">
        <v>2.4</v>
      </c>
      <c r="G45" t="s">
        <v>44</v>
      </c>
      <c r="H45">
        <v>0</v>
      </c>
      <c r="I45">
        <v>6.55</v>
      </c>
      <c r="L45">
        <f>Constants!$B$2</f>
        <v>2.8</v>
      </c>
      <c r="M45" t="str">
        <f t="shared" si="1"/>
        <v>N/A</v>
      </c>
      <c r="N45">
        <f>P45*Constants!$E$2</f>
        <v>0</v>
      </c>
      <c r="P45">
        <f t="shared" si="2"/>
        <v>0</v>
      </c>
      <c r="Q45">
        <f>P45*Constants!$B$3</f>
        <v>0</v>
      </c>
      <c r="R45">
        <f t="shared" si="3"/>
        <v>0</v>
      </c>
      <c r="S45">
        <f t="shared" si="4"/>
        <v>6.55</v>
      </c>
      <c r="T45">
        <f>S45*Constants!$B$2</f>
        <v>18.34</v>
      </c>
      <c r="V45">
        <f t="shared" si="5"/>
        <v>0</v>
      </c>
      <c r="W45">
        <f t="shared" si="6"/>
        <v>0</v>
      </c>
      <c r="AA45" s="8"/>
      <c r="AJ45" s="4"/>
    </row>
    <row r="46" spans="1:36" x14ac:dyDescent="0.25">
      <c r="A46">
        <v>45</v>
      </c>
      <c r="B46">
        <v>9</v>
      </c>
      <c r="C46" t="s">
        <v>45</v>
      </c>
      <c r="D46" s="16" t="s">
        <v>233</v>
      </c>
      <c r="F46">
        <v>13.25</v>
      </c>
      <c r="G46" t="s">
        <v>44</v>
      </c>
      <c r="H46">
        <v>0</v>
      </c>
      <c r="I46">
        <f>2*(4.8+3.2)</f>
        <v>16</v>
      </c>
      <c r="L46">
        <f>Constants!$B$2</f>
        <v>2.8</v>
      </c>
      <c r="M46" t="str">
        <f t="shared" si="1"/>
        <v>N/A</v>
      </c>
      <c r="N46">
        <f>P46*Constants!$E$2</f>
        <v>0</v>
      </c>
      <c r="P46">
        <f t="shared" si="2"/>
        <v>0</v>
      </c>
      <c r="Q46">
        <f>P46*Constants!$B$3</f>
        <v>0</v>
      </c>
      <c r="R46">
        <f t="shared" si="3"/>
        <v>0</v>
      </c>
      <c r="S46">
        <f t="shared" si="4"/>
        <v>16</v>
      </c>
      <c r="T46">
        <f>S46*Constants!$B$2</f>
        <v>44.8</v>
      </c>
      <c r="V46">
        <f t="shared" si="5"/>
        <v>0</v>
      </c>
      <c r="W46">
        <f t="shared" si="6"/>
        <v>0</v>
      </c>
      <c r="AA46" s="8"/>
      <c r="AJ46" s="4"/>
    </row>
    <row r="47" spans="1:36" x14ac:dyDescent="0.25">
      <c r="A47">
        <v>46</v>
      </c>
      <c r="B47">
        <v>9</v>
      </c>
      <c r="C47" t="s">
        <v>62</v>
      </c>
      <c r="D47" s="16" t="s">
        <v>234</v>
      </c>
      <c r="F47">
        <v>20.76</v>
      </c>
      <c r="G47">
        <v>90</v>
      </c>
      <c r="H47">
        <v>3.2</v>
      </c>
      <c r="I47">
        <f>2*(5.3+3.2)</f>
        <v>17</v>
      </c>
      <c r="L47">
        <f>Constants!$B$2</f>
        <v>2.8</v>
      </c>
      <c r="M47">
        <f t="shared" si="1"/>
        <v>90</v>
      </c>
      <c r="N47">
        <f>P47*Constants!$E$2</f>
        <v>5.44</v>
      </c>
      <c r="P47">
        <f t="shared" si="2"/>
        <v>3.2</v>
      </c>
      <c r="Q47">
        <f>P47*Constants!$B$3</f>
        <v>13.439999999999998</v>
      </c>
      <c r="R47">
        <f t="shared" si="3"/>
        <v>7.9999999999999973</v>
      </c>
      <c r="S47">
        <f t="shared" si="4"/>
        <v>13.8</v>
      </c>
      <c r="T47">
        <f>S47*Constants!$B$2</f>
        <v>38.64</v>
      </c>
      <c r="V47">
        <f t="shared" si="5"/>
        <v>0</v>
      </c>
      <c r="W47">
        <f t="shared" si="6"/>
        <v>0</v>
      </c>
      <c r="AA47" s="8"/>
      <c r="AJ47" s="4"/>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5"/>
    </row>
    <row r="453" spans="4:4" x14ac:dyDescent="0.25">
      <c r="D453" s="15"/>
    </row>
    <row r="454" spans="4:4" x14ac:dyDescent="0.25">
      <c r="D454" s="15"/>
    </row>
    <row r="455" spans="4:4" x14ac:dyDescent="0.25">
      <c r="D455" s="15"/>
    </row>
    <row r="456" spans="4:4" x14ac:dyDescent="0.25">
      <c r="D456" s="15"/>
    </row>
    <row r="457" spans="4:4" x14ac:dyDescent="0.25">
      <c r="D457" s="15"/>
    </row>
    <row r="458" spans="4:4" x14ac:dyDescent="0.25">
      <c r="D458" s="14"/>
    </row>
    <row r="459" spans="4:4" x14ac:dyDescent="0.25">
      <c r="D459" s="14"/>
    </row>
    <row r="460" spans="4:4" x14ac:dyDescent="0.25">
      <c r="D460" s="13"/>
    </row>
    <row r="461" spans="4:4" x14ac:dyDescent="0.25">
      <c r="D461" s="13"/>
    </row>
    <row r="462" spans="4:4" x14ac:dyDescent="0.25">
      <c r="D462" s="13"/>
    </row>
    <row r="463" spans="4:4" x14ac:dyDescent="0.25">
      <c r="D463" s="13"/>
    </row>
    <row r="464" spans="4:4" x14ac:dyDescent="0.25">
      <c r="D464" s="13"/>
    </row>
    <row r="465" spans="4:4" x14ac:dyDescent="0.25">
      <c r="D465" s="13"/>
    </row>
    <row r="466" spans="4:4" x14ac:dyDescent="0.25">
      <c r="D466" s="13"/>
    </row>
    <row r="467" spans="4:4" x14ac:dyDescent="0.25">
      <c r="D467" s="13"/>
    </row>
  </sheetData>
  <pageMargins left="0.7" right="0.7" top="0.78740157499999996" bottom="0.78740157499999996"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4"/>
  <sheetViews>
    <sheetView zoomScaleNormal="100" workbookViewId="0">
      <pane xSplit="4" ySplit="1" topLeftCell="E9" activePane="bottomRight" state="frozen"/>
      <selection pane="topRight" activeCell="F1" sqref="F1"/>
      <selection pane="bottomLeft" activeCell="A2" sqref="A2"/>
      <selection pane="bottomRight" activeCell="D44" sqref="D4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62</v>
      </c>
      <c r="D2" s="16" t="s">
        <v>277</v>
      </c>
      <c r="F2">
        <v>25.86</v>
      </c>
      <c r="G2" t="s">
        <v>44</v>
      </c>
      <c r="H2">
        <v>0</v>
      </c>
      <c r="I2">
        <f>1.2*(4+4.5)*2</f>
        <v>20.399999999999999</v>
      </c>
      <c r="L2">
        <f>Constants!$B$2</f>
        <v>2.8</v>
      </c>
      <c r="M2" t="str">
        <f t="shared" ref="M2:M5" si="0">IF(N2&gt;0,G2,"N/A")</f>
        <v>N/A</v>
      </c>
      <c r="N2">
        <f>P2*Constants!$E$2</f>
        <v>0</v>
      </c>
      <c r="P2">
        <f>H2</f>
        <v>0</v>
      </c>
      <c r="Q2">
        <f>P2*Constants!$B$3</f>
        <v>0</v>
      </c>
      <c r="R2">
        <f>IF(Q2-N2&lt;=0, 0, Q2-N2)</f>
        <v>0</v>
      </c>
      <c r="S2">
        <f>I2-P2</f>
        <v>20.399999999999999</v>
      </c>
      <c r="T2">
        <f>S2*Constants!$B$2</f>
        <v>57.11999999999999</v>
      </c>
      <c r="V2">
        <f>IF(B2="E",1,0)</f>
        <v>0</v>
      </c>
      <c r="W2">
        <f>IF(B2=10,1,0)</f>
        <v>0</v>
      </c>
      <c r="AA2" s="8"/>
      <c r="AJ2" s="4"/>
    </row>
    <row r="3" spans="1:40" x14ac:dyDescent="0.25">
      <c r="A3">
        <v>2</v>
      </c>
      <c r="B3">
        <v>9</v>
      </c>
      <c r="C3" s="17" t="s">
        <v>45</v>
      </c>
      <c r="D3" s="16" t="s">
        <v>278</v>
      </c>
      <c r="F3">
        <v>24.76</v>
      </c>
      <c r="G3">
        <v>90</v>
      </c>
      <c r="H3">
        <v>3</v>
      </c>
      <c r="I3">
        <f>21.66</f>
        <v>21.66</v>
      </c>
      <c r="L3">
        <f>Constants!$B$2</f>
        <v>2.8</v>
      </c>
      <c r="M3">
        <f t="shared" si="0"/>
        <v>90</v>
      </c>
      <c r="N3">
        <f>P3*Constants!$E$2</f>
        <v>5.0999999999999996</v>
      </c>
      <c r="P3">
        <f t="shared" ref="P3:P6" si="1">H3</f>
        <v>3</v>
      </c>
      <c r="Q3">
        <f>P3*Constants!$B$3</f>
        <v>12.599999999999998</v>
      </c>
      <c r="R3">
        <f t="shared" ref="R3:R6" si="2">IF(Q3-N3&lt;=0, 0, Q3-N3)</f>
        <v>7.4999999999999982</v>
      </c>
      <c r="S3">
        <f t="shared" ref="S3:S6" si="3">I3-P3</f>
        <v>18.66</v>
      </c>
      <c r="T3">
        <f>S3*Constants!$B$2</f>
        <v>52.247999999999998</v>
      </c>
      <c r="V3">
        <f t="shared" ref="V3:V6" si="4">IF(B3="E",1,0)</f>
        <v>0</v>
      </c>
      <c r="W3">
        <f t="shared" ref="W3:W6" si="5">IF(B3=10,1,0)</f>
        <v>0</v>
      </c>
      <c r="AA3" s="8"/>
      <c r="AJ3" s="4"/>
    </row>
    <row r="4" spans="1:40" x14ac:dyDescent="0.25">
      <c r="A4">
        <v>3</v>
      </c>
      <c r="B4">
        <v>9</v>
      </c>
      <c r="C4" t="s">
        <v>57</v>
      </c>
      <c r="D4" s="16" t="s">
        <v>279</v>
      </c>
      <c r="E4" s="16" t="s">
        <v>278</v>
      </c>
      <c r="F4">
        <f>1.2*2.9</f>
        <v>3.48</v>
      </c>
      <c r="G4" t="s">
        <v>44</v>
      </c>
      <c r="H4">
        <v>0</v>
      </c>
      <c r="I4">
        <f>2*(1.2+2.9)</f>
        <v>8.1999999999999993</v>
      </c>
      <c r="L4">
        <f>Constants!$B$2</f>
        <v>2.8</v>
      </c>
      <c r="M4" t="str">
        <f t="shared" ref="M4" si="6">IF(N4&gt;0,G4,"N/A")</f>
        <v>N/A</v>
      </c>
      <c r="N4">
        <f>P4*Constants!$E$2</f>
        <v>0</v>
      </c>
      <c r="P4">
        <f>H4</f>
        <v>0</v>
      </c>
      <c r="Q4">
        <f>P4*Constants!$B$3</f>
        <v>0</v>
      </c>
      <c r="R4">
        <f>IF(Q4-N4&lt;=0, 0, Q4-N4)</f>
        <v>0</v>
      </c>
      <c r="S4">
        <f>I4-P4</f>
        <v>8.1999999999999993</v>
      </c>
      <c r="T4">
        <f>S4*Constants!$B$2</f>
        <v>22.959999999999997</v>
      </c>
      <c r="V4">
        <f>IF(B4="E",1,0)</f>
        <v>0</v>
      </c>
      <c r="W4">
        <f>IF(B4=10,1,0)</f>
        <v>0</v>
      </c>
      <c r="AA4" s="8"/>
      <c r="AJ4" s="4"/>
    </row>
    <row r="5" spans="1:40" x14ac:dyDescent="0.25">
      <c r="A5">
        <v>4</v>
      </c>
      <c r="B5">
        <v>9</v>
      </c>
      <c r="C5" t="s">
        <v>49</v>
      </c>
      <c r="D5" s="16" t="s">
        <v>242</v>
      </c>
      <c r="F5">
        <v>24.58</v>
      </c>
      <c r="G5">
        <v>90</v>
      </c>
      <c r="H5">
        <v>3</v>
      </c>
      <c r="I5">
        <f t="shared" ref="I5:I7" si="7">21.66</f>
        <v>21.66</v>
      </c>
      <c r="L5">
        <f>Constants!$B$2</f>
        <v>2.8</v>
      </c>
      <c r="M5">
        <f t="shared" si="0"/>
        <v>90</v>
      </c>
      <c r="N5">
        <f>P5*Constants!$E$2</f>
        <v>5.0999999999999996</v>
      </c>
      <c r="P5">
        <f t="shared" si="1"/>
        <v>3</v>
      </c>
      <c r="Q5">
        <f>P5*Constants!$B$3</f>
        <v>12.599999999999998</v>
      </c>
      <c r="R5">
        <f t="shared" si="2"/>
        <v>7.4999999999999982</v>
      </c>
      <c r="S5">
        <f t="shared" si="3"/>
        <v>18.66</v>
      </c>
      <c r="T5">
        <f>S5*Constants!$B$2</f>
        <v>52.247999999999998</v>
      </c>
      <c r="V5">
        <f t="shared" si="4"/>
        <v>0</v>
      </c>
      <c r="W5">
        <f t="shared" si="5"/>
        <v>0</v>
      </c>
      <c r="AA5" s="8"/>
      <c r="AJ5" s="4"/>
    </row>
    <row r="6" spans="1:40" x14ac:dyDescent="0.25">
      <c r="A6">
        <v>5</v>
      </c>
      <c r="B6">
        <v>9</v>
      </c>
      <c r="C6" t="s">
        <v>57</v>
      </c>
      <c r="D6" s="16" t="s">
        <v>243</v>
      </c>
      <c r="E6" s="16" t="s">
        <v>242</v>
      </c>
      <c r="F6">
        <f>1.2*2.9</f>
        <v>3.48</v>
      </c>
      <c r="G6" t="s">
        <v>44</v>
      </c>
      <c r="H6">
        <v>0</v>
      </c>
      <c r="I6">
        <f>2*(1.2+2.9)</f>
        <v>8.1999999999999993</v>
      </c>
      <c r="L6">
        <f>Constants!$B$2</f>
        <v>2.8</v>
      </c>
      <c r="M6" t="str">
        <f t="shared" ref="M6:M44" si="8">IF(N6&gt;0,G6,"N/A")</f>
        <v>N/A</v>
      </c>
      <c r="N6">
        <f>P6*Constants!$E$2</f>
        <v>0</v>
      </c>
      <c r="P6">
        <f t="shared" si="1"/>
        <v>0</v>
      </c>
      <c r="Q6">
        <f>P6*Constants!$B$3</f>
        <v>0</v>
      </c>
      <c r="R6">
        <f t="shared" si="2"/>
        <v>0</v>
      </c>
      <c r="S6">
        <f t="shared" si="3"/>
        <v>8.1999999999999993</v>
      </c>
      <c r="T6">
        <f>S6*Constants!$B$2</f>
        <v>22.959999999999997</v>
      </c>
      <c r="V6">
        <f t="shared" si="4"/>
        <v>0</v>
      </c>
      <c r="W6">
        <f t="shared" si="5"/>
        <v>0</v>
      </c>
      <c r="AA6" s="8"/>
      <c r="AJ6" s="4"/>
    </row>
    <row r="7" spans="1:40" x14ac:dyDescent="0.25">
      <c r="A7">
        <v>6</v>
      </c>
      <c r="B7">
        <v>9</v>
      </c>
      <c r="C7" t="s">
        <v>49</v>
      </c>
      <c r="D7" s="16" t="s">
        <v>244</v>
      </c>
      <c r="F7">
        <v>24.58</v>
      </c>
      <c r="G7">
        <v>90</v>
      </c>
      <c r="H7">
        <v>3</v>
      </c>
      <c r="I7">
        <f t="shared" si="7"/>
        <v>21.66</v>
      </c>
      <c r="L7">
        <f>Constants!$B$2</f>
        <v>2.8</v>
      </c>
      <c r="M7">
        <f t="shared" si="8"/>
        <v>90</v>
      </c>
      <c r="N7">
        <f>P7*Constants!$E$2</f>
        <v>5.0999999999999996</v>
      </c>
      <c r="P7">
        <f t="shared" ref="P7:P44" si="9">H7</f>
        <v>3</v>
      </c>
      <c r="Q7">
        <f>P7*Constants!$B$3</f>
        <v>12.599999999999998</v>
      </c>
      <c r="R7">
        <f t="shared" ref="R7:R44" si="10">IF(Q7-N7&lt;=0, 0, Q7-N7)</f>
        <v>7.4999999999999982</v>
      </c>
      <c r="S7">
        <f t="shared" ref="S7:S44" si="11">I7-P7</f>
        <v>18.66</v>
      </c>
      <c r="T7">
        <f>S7*Constants!$B$2</f>
        <v>52.247999999999998</v>
      </c>
      <c r="V7">
        <f t="shared" ref="V7:V44" si="12">IF(B7="E",1,0)</f>
        <v>0</v>
      </c>
      <c r="W7">
        <f t="shared" ref="W7:W44" si="13">IF(B7=10,1,0)</f>
        <v>0</v>
      </c>
      <c r="AA7" s="8"/>
      <c r="AJ7" s="4"/>
    </row>
    <row r="8" spans="1:40" x14ac:dyDescent="0.25">
      <c r="A8">
        <v>7</v>
      </c>
      <c r="B8">
        <v>9</v>
      </c>
      <c r="C8" t="s">
        <v>57</v>
      </c>
      <c r="D8" s="16" t="s">
        <v>245</v>
      </c>
      <c r="E8" s="16" t="s">
        <v>244</v>
      </c>
      <c r="F8">
        <f>1.2*2.9</f>
        <v>3.48</v>
      </c>
      <c r="G8" t="s">
        <v>44</v>
      </c>
      <c r="H8">
        <v>0</v>
      </c>
      <c r="I8">
        <f>2*(1.2+2.9)</f>
        <v>8.1999999999999993</v>
      </c>
      <c r="L8">
        <f>Constants!$B$2</f>
        <v>2.8</v>
      </c>
      <c r="M8" t="str">
        <f t="shared" si="8"/>
        <v>N/A</v>
      </c>
      <c r="N8">
        <f>P8*Constants!$E$2</f>
        <v>0</v>
      </c>
      <c r="P8">
        <f t="shared" si="9"/>
        <v>0</v>
      </c>
      <c r="Q8">
        <f>P8*Constants!$B$3</f>
        <v>0</v>
      </c>
      <c r="R8">
        <f t="shared" si="10"/>
        <v>0</v>
      </c>
      <c r="S8">
        <f t="shared" si="11"/>
        <v>8.1999999999999993</v>
      </c>
      <c r="T8">
        <f>S8*Constants!$B$2</f>
        <v>22.959999999999997</v>
      </c>
      <c r="V8">
        <f t="shared" si="12"/>
        <v>0</v>
      </c>
      <c r="W8">
        <f t="shared" si="13"/>
        <v>0</v>
      </c>
      <c r="AA8" s="8"/>
      <c r="AJ8" s="4"/>
    </row>
    <row r="9" spans="1:40" x14ac:dyDescent="0.25">
      <c r="A9">
        <v>8</v>
      </c>
      <c r="B9">
        <v>9</v>
      </c>
      <c r="C9" t="s">
        <v>62</v>
      </c>
      <c r="D9" s="16" t="s">
        <v>246</v>
      </c>
      <c r="F9">
        <v>118.01</v>
      </c>
      <c r="G9" t="s">
        <v>44</v>
      </c>
      <c r="H9">
        <v>0</v>
      </c>
      <c r="I9">
        <v>93.59</v>
      </c>
      <c r="L9">
        <f>Constants!$B$2</f>
        <v>2.8</v>
      </c>
      <c r="M9" t="str">
        <f t="shared" si="8"/>
        <v>N/A</v>
      </c>
      <c r="N9">
        <f>P9*Constants!$E$2</f>
        <v>0</v>
      </c>
      <c r="P9">
        <f t="shared" si="9"/>
        <v>0</v>
      </c>
      <c r="Q9">
        <f>P9*Constants!$B$3</f>
        <v>0</v>
      </c>
      <c r="R9">
        <f t="shared" si="10"/>
        <v>0</v>
      </c>
      <c r="S9">
        <f t="shared" si="11"/>
        <v>93.59</v>
      </c>
      <c r="T9">
        <f>S9*Constants!$B$2</f>
        <v>262.05200000000002</v>
      </c>
      <c r="V9">
        <f t="shared" si="12"/>
        <v>0</v>
      </c>
      <c r="W9">
        <f t="shared" si="13"/>
        <v>0</v>
      </c>
      <c r="AA9" s="8"/>
      <c r="AJ9" s="4"/>
    </row>
    <row r="10" spans="1:40" x14ac:dyDescent="0.25">
      <c r="A10">
        <v>9</v>
      </c>
      <c r="B10">
        <v>9</v>
      </c>
      <c r="C10" t="s">
        <v>49</v>
      </c>
      <c r="D10" s="16" t="s">
        <v>247</v>
      </c>
      <c r="F10">
        <v>20.49</v>
      </c>
      <c r="G10">
        <v>90</v>
      </c>
      <c r="H10">
        <v>3</v>
      </c>
      <c r="I10">
        <f>2*1.2*(2.5+6.5)</f>
        <v>21.599999999999998</v>
      </c>
      <c r="L10">
        <f>Constants!$B$2</f>
        <v>2.8</v>
      </c>
      <c r="M10">
        <f t="shared" si="8"/>
        <v>90</v>
      </c>
      <c r="N10">
        <f>P10*Constants!$E$2</f>
        <v>5.0999999999999996</v>
      </c>
      <c r="P10">
        <f t="shared" si="9"/>
        <v>3</v>
      </c>
      <c r="Q10">
        <f>P10*Constants!$B$3</f>
        <v>12.599999999999998</v>
      </c>
      <c r="R10">
        <f t="shared" si="10"/>
        <v>7.4999999999999982</v>
      </c>
      <c r="S10">
        <f t="shared" si="11"/>
        <v>18.599999999999998</v>
      </c>
      <c r="T10">
        <f>S10*Constants!$B$2</f>
        <v>52.079999999999991</v>
      </c>
      <c r="V10">
        <f t="shared" si="12"/>
        <v>0</v>
      </c>
      <c r="W10">
        <f t="shared" si="13"/>
        <v>0</v>
      </c>
      <c r="AA10" s="8"/>
      <c r="AJ10" s="4"/>
    </row>
    <row r="11" spans="1:40" x14ac:dyDescent="0.25">
      <c r="A11">
        <v>10</v>
      </c>
      <c r="B11">
        <v>9</v>
      </c>
      <c r="C11" t="s">
        <v>57</v>
      </c>
      <c r="D11" s="16" t="s">
        <v>248</v>
      </c>
      <c r="E11" s="16" t="s">
        <v>247</v>
      </c>
      <c r="F11">
        <f>1.2*2.9</f>
        <v>3.48</v>
      </c>
      <c r="G11" t="s">
        <v>44</v>
      </c>
      <c r="H11">
        <v>0</v>
      </c>
      <c r="I11">
        <f>2*(1.2+2.9)</f>
        <v>8.1999999999999993</v>
      </c>
      <c r="L11">
        <f>Constants!$B$2</f>
        <v>2.8</v>
      </c>
      <c r="M11" t="str">
        <f t="shared" si="8"/>
        <v>N/A</v>
      </c>
      <c r="N11">
        <f>P11*Constants!$E$2</f>
        <v>0</v>
      </c>
      <c r="P11">
        <f t="shared" si="9"/>
        <v>0</v>
      </c>
      <c r="Q11">
        <f>P11*Constants!$B$3</f>
        <v>0</v>
      </c>
      <c r="R11">
        <f t="shared" si="10"/>
        <v>0</v>
      </c>
      <c r="S11">
        <f t="shared" si="11"/>
        <v>8.1999999999999993</v>
      </c>
      <c r="T11">
        <f>S11*Constants!$B$2</f>
        <v>22.959999999999997</v>
      </c>
      <c r="V11">
        <f t="shared" si="12"/>
        <v>0</v>
      </c>
      <c r="W11">
        <f t="shared" si="13"/>
        <v>0</v>
      </c>
      <c r="AA11" s="8"/>
      <c r="AJ11" s="4"/>
    </row>
    <row r="12" spans="1:40" x14ac:dyDescent="0.25">
      <c r="A12">
        <v>11</v>
      </c>
      <c r="B12">
        <v>9</v>
      </c>
      <c r="C12" t="s">
        <v>49</v>
      </c>
      <c r="D12" s="16" t="s">
        <v>280</v>
      </c>
      <c r="F12">
        <v>19.18</v>
      </c>
      <c r="G12">
        <v>90</v>
      </c>
      <c r="H12">
        <v>3</v>
      </c>
      <c r="I12">
        <f>2*1.2*(2.5+6.5)</f>
        <v>21.599999999999998</v>
      </c>
      <c r="L12">
        <f>Constants!$B$2</f>
        <v>2.8</v>
      </c>
      <c r="M12">
        <f t="shared" ref="M12:M13" si="14">IF(N12&gt;0,G12,"N/A")</f>
        <v>90</v>
      </c>
      <c r="N12">
        <f>P12*Constants!$E$2</f>
        <v>5.0999999999999996</v>
      </c>
      <c r="P12">
        <f t="shared" ref="P12:P13" si="15">H12</f>
        <v>3</v>
      </c>
      <c r="Q12">
        <f>P12*Constants!$B$3</f>
        <v>12.599999999999998</v>
      </c>
      <c r="R12">
        <f t="shared" ref="R12:R13" si="16">IF(Q12-N12&lt;=0, 0, Q12-N12)</f>
        <v>7.4999999999999982</v>
      </c>
      <c r="S12">
        <f t="shared" ref="S12:S13" si="17">I12-P12</f>
        <v>18.599999999999998</v>
      </c>
      <c r="T12">
        <f>S12*Constants!$B$2</f>
        <v>52.079999999999991</v>
      </c>
      <c r="V12">
        <f t="shared" ref="V12:V13" si="18">IF(B12="E",1,0)</f>
        <v>0</v>
      </c>
      <c r="W12">
        <f t="shared" ref="W12:W13" si="19">IF(B12=10,1,0)</f>
        <v>0</v>
      </c>
      <c r="AA12" s="8"/>
      <c r="AJ12" s="4"/>
    </row>
    <row r="13" spans="1:40" x14ac:dyDescent="0.25">
      <c r="A13">
        <v>12</v>
      </c>
      <c r="B13">
        <v>9</v>
      </c>
      <c r="C13" t="s">
        <v>57</v>
      </c>
      <c r="D13" s="16" t="s">
        <v>281</v>
      </c>
      <c r="E13" s="16" t="s">
        <v>280</v>
      </c>
      <c r="F13">
        <f>1.2*2.9</f>
        <v>3.48</v>
      </c>
      <c r="G13" t="s">
        <v>44</v>
      </c>
      <c r="H13">
        <v>0</v>
      </c>
      <c r="I13">
        <f>2*(1.2+2.9)</f>
        <v>8.1999999999999993</v>
      </c>
      <c r="L13">
        <f>Constants!$B$2</f>
        <v>2.8</v>
      </c>
      <c r="M13" t="str">
        <f t="shared" si="14"/>
        <v>N/A</v>
      </c>
      <c r="N13">
        <f>P13*Constants!$E$2</f>
        <v>0</v>
      </c>
      <c r="P13">
        <f t="shared" si="15"/>
        <v>0</v>
      </c>
      <c r="Q13">
        <f>P13*Constants!$B$3</f>
        <v>0</v>
      </c>
      <c r="R13">
        <f t="shared" si="16"/>
        <v>0</v>
      </c>
      <c r="S13">
        <f t="shared" si="17"/>
        <v>8.1999999999999993</v>
      </c>
      <c r="T13">
        <f>S13*Constants!$B$2</f>
        <v>22.959999999999997</v>
      </c>
      <c r="V13">
        <f t="shared" si="18"/>
        <v>0</v>
      </c>
      <c r="W13">
        <f t="shared" si="19"/>
        <v>0</v>
      </c>
      <c r="AA13" s="8"/>
      <c r="AJ13" s="4"/>
    </row>
    <row r="14" spans="1:40" x14ac:dyDescent="0.25">
      <c r="A14">
        <v>13</v>
      </c>
      <c r="B14">
        <v>9</v>
      </c>
      <c r="C14" t="s">
        <v>49</v>
      </c>
      <c r="D14" s="16" t="s">
        <v>249</v>
      </c>
      <c r="F14">
        <v>19.18</v>
      </c>
      <c r="G14">
        <v>90</v>
      </c>
      <c r="H14">
        <v>3</v>
      </c>
      <c r="I14">
        <v>21.6</v>
      </c>
      <c r="L14">
        <f>Constants!$B$2</f>
        <v>2.8</v>
      </c>
      <c r="M14">
        <f t="shared" si="8"/>
        <v>90</v>
      </c>
      <c r="N14">
        <f>P14*Constants!$E$2</f>
        <v>5.0999999999999996</v>
      </c>
      <c r="P14">
        <f t="shared" si="9"/>
        <v>3</v>
      </c>
      <c r="Q14">
        <f>P14*Constants!$B$3</f>
        <v>12.599999999999998</v>
      </c>
      <c r="R14">
        <f t="shared" si="10"/>
        <v>7.4999999999999982</v>
      </c>
      <c r="S14">
        <f t="shared" si="11"/>
        <v>18.600000000000001</v>
      </c>
      <c r="T14">
        <f>S14*Constants!$B$2</f>
        <v>52.08</v>
      </c>
      <c r="V14">
        <f t="shared" si="12"/>
        <v>0</v>
      </c>
      <c r="W14">
        <f t="shared" si="13"/>
        <v>0</v>
      </c>
      <c r="AA14" s="8"/>
      <c r="AJ14" s="4"/>
    </row>
    <row r="15" spans="1:40" x14ac:dyDescent="0.25">
      <c r="A15">
        <v>14</v>
      </c>
      <c r="B15">
        <v>9</v>
      </c>
      <c r="C15" t="s">
        <v>57</v>
      </c>
      <c r="D15" s="16" t="s">
        <v>250</v>
      </c>
      <c r="E15" s="16" t="s">
        <v>249</v>
      </c>
      <c r="F15">
        <f>1.2*2.9</f>
        <v>3.48</v>
      </c>
      <c r="G15" t="s">
        <v>44</v>
      </c>
      <c r="H15">
        <v>0</v>
      </c>
      <c r="I15">
        <f>2*(1.2+2.9)</f>
        <v>8.1999999999999993</v>
      </c>
      <c r="L15">
        <f>Constants!$B$2</f>
        <v>2.8</v>
      </c>
      <c r="M15" t="str">
        <f t="shared" si="8"/>
        <v>N/A</v>
      </c>
      <c r="N15">
        <f>P15*Constants!$E$2</f>
        <v>0</v>
      </c>
      <c r="P15">
        <f t="shared" si="9"/>
        <v>0</v>
      </c>
      <c r="Q15">
        <f>P15*Constants!$B$3</f>
        <v>0</v>
      </c>
      <c r="R15">
        <f t="shared" si="10"/>
        <v>0</v>
      </c>
      <c r="S15">
        <f t="shared" si="11"/>
        <v>8.1999999999999993</v>
      </c>
      <c r="T15">
        <f>S15*Constants!$B$2</f>
        <v>22.959999999999997</v>
      </c>
      <c r="V15">
        <f t="shared" si="12"/>
        <v>0</v>
      </c>
      <c r="W15">
        <f t="shared" si="13"/>
        <v>0</v>
      </c>
      <c r="AA15" s="8"/>
      <c r="AJ15" s="4"/>
    </row>
    <row r="16" spans="1:40" x14ac:dyDescent="0.25">
      <c r="A16">
        <v>15</v>
      </c>
      <c r="B16">
        <v>9</v>
      </c>
      <c r="C16" t="s">
        <v>49</v>
      </c>
      <c r="D16" s="16" t="s">
        <v>282</v>
      </c>
      <c r="E16" s="16"/>
      <c r="F16">
        <v>20.49</v>
      </c>
      <c r="G16">
        <v>90</v>
      </c>
      <c r="H16">
        <v>3</v>
      </c>
      <c r="I16">
        <v>21.6</v>
      </c>
      <c r="L16">
        <f>Constants!$B$2</f>
        <v>2.8</v>
      </c>
      <c r="M16">
        <f t="shared" si="8"/>
        <v>90</v>
      </c>
      <c r="N16">
        <f>P16*Constants!$E$2</f>
        <v>5.0999999999999996</v>
      </c>
      <c r="P16">
        <f t="shared" si="9"/>
        <v>3</v>
      </c>
      <c r="Q16">
        <f>P16*Constants!$B$3</f>
        <v>12.599999999999998</v>
      </c>
      <c r="R16">
        <f t="shared" si="10"/>
        <v>7.4999999999999982</v>
      </c>
      <c r="S16">
        <f t="shared" si="11"/>
        <v>18.600000000000001</v>
      </c>
      <c r="T16">
        <f>S16*Constants!$B$2</f>
        <v>52.08</v>
      </c>
      <c r="V16">
        <f t="shared" si="12"/>
        <v>0</v>
      </c>
      <c r="W16">
        <f t="shared" si="13"/>
        <v>0</v>
      </c>
      <c r="AA16" s="8"/>
      <c r="AJ16" s="4"/>
    </row>
    <row r="17" spans="1:36" x14ac:dyDescent="0.25">
      <c r="A17">
        <v>16</v>
      </c>
      <c r="B17">
        <v>9</v>
      </c>
      <c r="C17" t="s">
        <v>57</v>
      </c>
      <c r="D17" s="16" t="s">
        <v>283</v>
      </c>
      <c r="E17" s="16" t="s">
        <v>282</v>
      </c>
      <c r="F17">
        <f>1.2*2.9</f>
        <v>3.48</v>
      </c>
      <c r="G17" t="s">
        <v>44</v>
      </c>
      <c r="H17">
        <v>0</v>
      </c>
      <c r="I17">
        <f>2*(1.2+2.9)</f>
        <v>8.1999999999999993</v>
      </c>
      <c r="L17">
        <f>Constants!$B$2</f>
        <v>2.8</v>
      </c>
      <c r="M17" t="str">
        <f t="shared" ref="M17" si="20">IF(N17&gt;0,G17,"N/A")</f>
        <v>N/A</v>
      </c>
      <c r="N17">
        <f>P17*Constants!$E$2</f>
        <v>0</v>
      </c>
      <c r="P17">
        <f t="shared" ref="P17" si="21">H17</f>
        <v>0</v>
      </c>
      <c r="Q17">
        <f>P17*Constants!$B$3</f>
        <v>0</v>
      </c>
      <c r="R17">
        <f t="shared" ref="R17" si="22">IF(Q17-N17&lt;=0, 0, Q17-N17)</f>
        <v>0</v>
      </c>
      <c r="S17">
        <f t="shared" ref="S17" si="23">I17-P17</f>
        <v>8.1999999999999993</v>
      </c>
      <c r="T17">
        <f>S17*Constants!$B$2</f>
        <v>22.959999999999997</v>
      </c>
      <c r="V17">
        <f t="shared" ref="V17" si="24">IF(B17="E",1,0)</f>
        <v>0</v>
      </c>
      <c r="W17">
        <f t="shared" ref="W17" si="25">IF(B17=10,1,0)</f>
        <v>0</v>
      </c>
      <c r="AA17" s="8"/>
      <c r="AJ17" s="4"/>
    </row>
    <row r="18" spans="1:36" x14ac:dyDescent="0.25">
      <c r="A18">
        <v>17</v>
      </c>
      <c r="B18">
        <v>9</v>
      </c>
      <c r="C18" t="s">
        <v>49</v>
      </c>
      <c r="D18" s="16" t="s">
        <v>251</v>
      </c>
      <c r="F18">
        <v>24.58</v>
      </c>
      <c r="G18">
        <v>90</v>
      </c>
      <c r="H18">
        <v>3.6</v>
      </c>
      <c r="I18">
        <f>2*(3.6+7.9)</f>
        <v>23</v>
      </c>
      <c r="L18">
        <f>Constants!$B$2</f>
        <v>2.8</v>
      </c>
      <c r="M18">
        <f t="shared" si="8"/>
        <v>90</v>
      </c>
      <c r="N18">
        <f>P18*Constants!$E$2</f>
        <v>6.12</v>
      </c>
      <c r="P18">
        <f t="shared" si="9"/>
        <v>3.6</v>
      </c>
      <c r="Q18">
        <f>P18*Constants!$B$3</f>
        <v>15.119999999999997</v>
      </c>
      <c r="R18">
        <f t="shared" si="10"/>
        <v>8.9999999999999964</v>
      </c>
      <c r="S18">
        <f t="shared" si="11"/>
        <v>19.399999999999999</v>
      </c>
      <c r="T18">
        <f>S18*Constants!$B$2</f>
        <v>54.319999999999993</v>
      </c>
      <c r="V18">
        <f t="shared" si="12"/>
        <v>0</v>
      </c>
      <c r="W18">
        <f t="shared" si="13"/>
        <v>0</v>
      </c>
      <c r="AA18" s="8"/>
      <c r="AJ18" s="4"/>
    </row>
    <row r="19" spans="1:36" x14ac:dyDescent="0.25">
      <c r="A19">
        <v>18</v>
      </c>
      <c r="B19">
        <v>9</v>
      </c>
      <c r="C19" t="s">
        <v>57</v>
      </c>
      <c r="D19" s="16" t="s">
        <v>252</v>
      </c>
      <c r="E19" s="16" t="s">
        <v>251</v>
      </c>
      <c r="F19">
        <f>1.2*2.9</f>
        <v>3.48</v>
      </c>
      <c r="G19" t="s">
        <v>44</v>
      </c>
      <c r="H19">
        <v>0</v>
      </c>
      <c r="I19">
        <f>2*(1.2+2.9)</f>
        <v>8.1999999999999993</v>
      </c>
      <c r="L19">
        <f>Constants!$B$2</f>
        <v>2.8</v>
      </c>
      <c r="M19" t="str">
        <f t="shared" si="8"/>
        <v>N/A</v>
      </c>
      <c r="N19">
        <f>P19*Constants!$E$2</f>
        <v>0</v>
      </c>
      <c r="P19">
        <f t="shared" si="9"/>
        <v>0</v>
      </c>
      <c r="Q19">
        <f>P19*Constants!$B$3</f>
        <v>0</v>
      </c>
      <c r="R19">
        <f t="shared" si="10"/>
        <v>0</v>
      </c>
      <c r="S19">
        <f t="shared" si="11"/>
        <v>8.1999999999999993</v>
      </c>
      <c r="T19">
        <f>S19*Constants!$B$2</f>
        <v>22.959999999999997</v>
      </c>
      <c r="V19">
        <f t="shared" si="12"/>
        <v>0</v>
      </c>
      <c r="W19">
        <f t="shared" si="13"/>
        <v>0</v>
      </c>
      <c r="AA19" s="8"/>
      <c r="AJ19" s="4"/>
    </row>
    <row r="20" spans="1:36" x14ac:dyDescent="0.25">
      <c r="A20">
        <v>19</v>
      </c>
      <c r="B20">
        <v>9</v>
      </c>
      <c r="C20" t="s">
        <v>49</v>
      </c>
      <c r="D20" s="16" t="s">
        <v>253</v>
      </c>
      <c r="F20">
        <v>24.58</v>
      </c>
      <c r="G20">
        <v>90</v>
      </c>
      <c r="H20">
        <v>3.6</v>
      </c>
      <c r="I20">
        <f>2*(3.6+7.9)</f>
        <v>23</v>
      </c>
      <c r="L20">
        <f>Constants!$B$2</f>
        <v>2.8</v>
      </c>
      <c r="M20">
        <f t="shared" si="8"/>
        <v>90</v>
      </c>
      <c r="N20">
        <f>P20*Constants!$E$2</f>
        <v>6.12</v>
      </c>
      <c r="P20">
        <f t="shared" si="9"/>
        <v>3.6</v>
      </c>
      <c r="Q20">
        <f>P20*Constants!$B$3</f>
        <v>15.119999999999997</v>
      </c>
      <c r="R20">
        <f t="shared" si="10"/>
        <v>8.9999999999999964</v>
      </c>
      <c r="S20">
        <f t="shared" si="11"/>
        <v>19.399999999999999</v>
      </c>
      <c r="T20">
        <f>S20*Constants!$B$2</f>
        <v>54.319999999999993</v>
      </c>
      <c r="V20">
        <f t="shared" si="12"/>
        <v>0</v>
      </c>
      <c r="W20">
        <f t="shared" si="13"/>
        <v>0</v>
      </c>
      <c r="AA20" s="8"/>
      <c r="AJ20" s="4"/>
    </row>
    <row r="21" spans="1:36" x14ac:dyDescent="0.25">
      <c r="A21">
        <v>20</v>
      </c>
      <c r="B21">
        <v>9</v>
      </c>
      <c r="C21" t="s">
        <v>57</v>
      </c>
      <c r="D21" s="16" t="s">
        <v>254</v>
      </c>
      <c r="E21" s="16" t="s">
        <v>253</v>
      </c>
      <c r="F21">
        <f>1.2*2.9</f>
        <v>3.48</v>
      </c>
      <c r="G21" t="s">
        <v>44</v>
      </c>
      <c r="H21">
        <v>0</v>
      </c>
      <c r="I21">
        <f>2*(1.2+2.9)</f>
        <v>8.1999999999999993</v>
      </c>
      <c r="L21">
        <f>Constants!$B$2</f>
        <v>2.8</v>
      </c>
      <c r="M21" t="str">
        <f t="shared" si="8"/>
        <v>N/A</v>
      </c>
      <c r="N21">
        <f>P21*Constants!$E$2</f>
        <v>0</v>
      </c>
      <c r="P21">
        <f t="shared" si="9"/>
        <v>0</v>
      </c>
      <c r="Q21">
        <f>P21*Constants!$B$3</f>
        <v>0</v>
      </c>
      <c r="R21">
        <f t="shared" si="10"/>
        <v>0</v>
      </c>
      <c r="S21">
        <f t="shared" si="11"/>
        <v>8.1999999999999993</v>
      </c>
      <c r="T21">
        <f>S21*Constants!$B$2</f>
        <v>22.959999999999997</v>
      </c>
      <c r="V21">
        <f t="shared" si="12"/>
        <v>0</v>
      </c>
      <c r="W21">
        <f t="shared" si="13"/>
        <v>0</v>
      </c>
      <c r="AA21" s="8"/>
      <c r="AJ21" s="4"/>
    </row>
    <row r="22" spans="1:36" x14ac:dyDescent="0.25">
      <c r="A22">
        <v>21</v>
      </c>
      <c r="B22">
        <v>9</v>
      </c>
      <c r="C22" t="s">
        <v>49</v>
      </c>
      <c r="D22" s="16" t="s">
        <v>255</v>
      </c>
      <c r="E22" s="16"/>
      <c r="F22">
        <v>24.8</v>
      </c>
      <c r="G22">
        <v>90</v>
      </c>
      <c r="H22">
        <f>3.6+3.3</f>
        <v>6.9</v>
      </c>
      <c r="I22">
        <f>2*(3.6+7.9)</f>
        <v>23</v>
      </c>
      <c r="L22">
        <f>Constants!$B$2</f>
        <v>2.8</v>
      </c>
      <c r="M22">
        <f t="shared" si="8"/>
        <v>90</v>
      </c>
      <c r="N22">
        <f>P22*Constants!$E$2</f>
        <v>11.73</v>
      </c>
      <c r="P22">
        <f t="shared" si="9"/>
        <v>6.9</v>
      </c>
      <c r="Q22">
        <f>P22*Constants!$B$3</f>
        <v>28.979999999999997</v>
      </c>
      <c r="R22">
        <f t="shared" si="10"/>
        <v>17.249999999999996</v>
      </c>
      <c r="S22">
        <f t="shared" si="11"/>
        <v>16.100000000000001</v>
      </c>
      <c r="T22">
        <f>S22*Constants!$B$2</f>
        <v>45.08</v>
      </c>
      <c r="V22">
        <f t="shared" si="12"/>
        <v>0</v>
      </c>
      <c r="W22">
        <f t="shared" si="13"/>
        <v>0</v>
      </c>
      <c r="AA22" s="8"/>
      <c r="AJ22" s="4"/>
    </row>
    <row r="23" spans="1:36" x14ac:dyDescent="0.25">
      <c r="A23">
        <v>22</v>
      </c>
      <c r="B23">
        <v>9</v>
      </c>
      <c r="C23" t="s">
        <v>57</v>
      </c>
      <c r="D23" s="16" t="s">
        <v>256</v>
      </c>
      <c r="E23" s="16" t="s">
        <v>255</v>
      </c>
      <c r="F23">
        <f>1.2*2.9</f>
        <v>3.48</v>
      </c>
      <c r="G23" t="s">
        <v>44</v>
      </c>
      <c r="H23">
        <v>0</v>
      </c>
      <c r="I23">
        <f>2*(1.2+2.9)</f>
        <v>8.1999999999999993</v>
      </c>
      <c r="L23">
        <f>Constants!$B$2</f>
        <v>2.8</v>
      </c>
      <c r="M23" t="str">
        <f t="shared" si="8"/>
        <v>N/A</v>
      </c>
      <c r="N23">
        <f>P23*Constants!$E$2</f>
        <v>0</v>
      </c>
      <c r="P23">
        <f t="shared" si="9"/>
        <v>0</v>
      </c>
      <c r="Q23">
        <f>P23*Constants!$B$3</f>
        <v>0</v>
      </c>
      <c r="R23">
        <f t="shared" si="10"/>
        <v>0</v>
      </c>
      <c r="S23">
        <f t="shared" si="11"/>
        <v>8.1999999999999993</v>
      </c>
      <c r="T23">
        <f>S23*Constants!$B$2</f>
        <v>22.959999999999997</v>
      </c>
      <c r="V23">
        <f t="shared" si="12"/>
        <v>0</v>
      </c>
      <c r="W23">
        <f t="shared" si="13"/>
        <v>0</v>
      </c>
      <c r="AA23" s="8"/>
      <c r="AJ23" s="4"/>
    </row>
    <row r="24" spans="1:36" x14ac:dyDescent="0.25">
      <c r="A24">
        <v>23</v>
      </c>
      <c r="B24">
        <v>9</v>
      </c>
      <c r="C24" t="s">
        <v>64</v>
      </c>
      <c r="D24" s="16" t="s">
        <v>257</v>
      </c>
      <c r="F24">
        <v>3.72</v>
      </c>
      <c r="G24">
        <v>90</v>
      </c>
      <c r="H24">
        <v>1.3</v>
      </c>
      <c r="I24">
        <f>2*(2.8+1.3)</f>
        <v>8.1999999999999993</v>
      </c>
      <c r="L24">
        <f>Constants!$B$2</f>
        <v>2.8</v>
      </c>
      <c r="M24">
        <f t="shared" si="8"/>
        <v>90</v>
      </c>
      <c r="N24">
        <f>P24*Constants!$E$2</f>
        <v>2.21</v>
      </c>
      <c r="P24">
        <f t="shared" si="9"/>
        <v>1.3</v>
      </c>
      <c r="Q24">
        <f>P24*Constants!$B$3</f>
        <v>5.4599999999999991</v>
      </c>
      <c r="R24">
        <f t="shared" si="10"/>
        <v>3.2499999999999991</v>
      </c>
      <c r="S24">
        <f t="shared" si="11"/>
        <v>6.8999999999999995</v>
      </c>
      <c r="T24">
        <f>S24*Constants!$B$2</f>
        <v>19.319999999999997</v>
      </c>
      <c r="V24">
        <f t="shared" si="12"/>
        <v>0</v>
      </c>
      <c r="W24">
        <f t="shared" si="13"/>
        <v>0</v>
      </c>
      <c r="AA24" s="8"/>
      <c r="AJ24" s="4"/>
    </row>
    <row r="25" spans="1:36" x14ac:dyDescent="0.25">
      <c r="A25">
        <v>24</v>
      </c>
      <c r="B25">
        <v>9</v>
      </c>
      <c r="C25" t="s">
        <v>64</v>
      </c>
      <c r="D25" s="16" t="s">
        <v>258</v>
      </c>
      <c r="F25">
        <v>3.72</v>
      </c>
      <c r="G25">
        <v>90</v>
      </c>
      <c r="H25">
        <v>1.3</v>
      </c>
      <c r="I25">
        <f>2*(2.8+1.3)</f>
        <v>8.1999999999999993</v>
      </c>
      <c r="L25">
        <f>Constants!$B$2</f>
        <v>2.8</v>
      </c>
      <c r="M25">
        <f t="shared" si="8"/>
        <v>90</v>
      </c>
      <c r="N25">
        <f>P25*Constants!$E$2</f>
        <v>2.21</v>
      </c>
      <c r="P25">
        <f t="shared" si="9"/>
        <v>1.3</v>
      </c>
      <c r="Q25">
        <f>P25*Constants!$B$3</f>
        <v>5.4599999999999991</v>
      </c>
      <c r="R25">
        <f t="shared" si="10"/>
        <v>3.2499999999999991</v>
      </c>
      <c r="S25">
        <f t="shared" si="11"/>
        <v>6.8999999999999995</v>
      </c>
      <c r="T25">
        <f>S25*Constants!$B$2</f>
        <v>19.319999999999997</v>
      </c>
      <c r="V25">
        <f t="shared" si="12"/>
        <v>0</v>
      </c>
      <c r="W25">
        <f t="shared" si="13"/>
        <v>0</v>
      </c>
      <c r="AA25" s="8"/>
      <c r="AJ25" s="4"/>
    </row>
    <row r="26" spans="1:36" x14ac:dyDescent="0.25">
      <c r="A26">
        <v>25</v>
      </c>
      <c r="B26">
        <v>9</v>
      </c>
      <c r="C26" t="s">
        <v>49</v>
      </c>
      <c r="D26" s="16" t="s">
        <v>259</v>
      </c>
      <c r="F26">
        <v>24.76</v>
      </c>
      <c r="G26">
        <v>270</v>
      </c>
      <c r="H26">
        <f>3.6+3.3</f>
        <v>6.9</v>
      </c>
      <c r="I26">
        <f>2*(3.6+7.9)</f>
        <v>23</v>
      </c>
      <c r="L26">
        <f>Constants!$B$2</f>
        <v>2.8</v>
      </c>
      <c r="M26">
        <f t="shared" si="8"/>
        <v>270</v>
      </c>
      <c r="N26">
        <f>P26*Constants!$E$2</f>
        <v>11.73</v>
      </c>
      <c r="P26">
        <f t="shared" si="9"/>
        <v>6.9</v>
      </c>
      <c r="Q26">
        <f>P26*Constants!$B$3</f>
        <v>28.979999999999997</v>
      </c>
      <c r="R26">
        <f t="shared" si="10"/>
        <v>17.249999999999996</v>
      </c>
      <c r="S26">
        <f t="shared" si="11"/>
        <v>16.100000000000001</v>
      </c>
      <c r="T26">
        <f>S26*Constants!$B$2</f>
        <v>45.08</v>
      </c>
      <c r="V26">
        <f t="shared" si="12"/>
        <v>0</v>
      </c>
      <c r="W26">
        <f t="shared" si="13"/>
        <v>0</v>
      </c>
      <c r="AA26" s="8"/>
      <c r="AJ26" s="4"/>
    </row>
    <row r="27" spans="1:36" x14ac:dyDescent="0.25">
      <c r="A27">
        <v>26</v>
      </c>
      <c r="B27">
        <v>9</v>
      </c>
      <c r="C27" t="s">
        <v>57</v>
      </c>
      <c r="D27" s="16" t="s">
        <v>260</v>
      </c>
      <c r="E27" s="16" t="s">
        <v>259</v>
      </c>
      <c r="F27">
        <f>1.2*2.9</f>
        <v>3.48</v>
      </c>
      <c r="G27" t="s">
        <v>44</v>
      </c>
      <c r="H27">
        <v>0</v>
      </c>
      <c r="I27">
        <f>2*(1.2+2.9)</f>
        <v>8.1999999999999993</v>
      </c>
      <c r="L27">
        <f>Constants!$B$2</f>
        <v>2.8</v>
      </c>
      <c r="M27" t="str">
        <f t="shared" si="8"/>
        <v>N/A</v>
      </c>
      <c r="N27">
        <f>P27*Constants!$E$2</f>
        <v>0</v>
      </c>
      <c r="P27">
        <f t="shared" si="9"/>
        <v>0</v>
      </c>
      <c r="Q27">
        <f>P27*Constants!$B$3</f>
        <v>0</v>
      </c>
      <c r="R27">
        <f t="shared" si="10"/>
        <v>0</v>
      </c>
      <c r="S27">
        <f t="shared" si="11"/>
        <v>8.1999999999999993</v>
      </c>
      <c r="T27">
        <f>S27*Constants!$B$2</f>
        <v>22.959999999999997</v>
      </c>
      <c r="V27">
        <f t="shared" si="12"/>
        <v>0</v>
      </c>
      <c r="W27">
        <f t="shared" si="13"/>
        <v>0</v>
      </c>
      <c r="AA27" s="8"/>
      <c r="AJ27" s="4"/>
    </row>
    <row r="28" spans="1:36" x14ac:dyDescent="0.25">
      <c r="A28">
        <v>27</v>
      </c>
      <c r="B28">
        <v>9</v>
      </c>
      <c r="C28" t="s">
        <v>49</v>
      </c>
      <c r="D28" s="16" t="s">
        <v>261</v>
      </c>
      <c r="F28">
        <v>24.58</v>
      </c>
      <c r="G28">
        <v>270</v>
      </c>
      <c r="H28">
        <v>3.6</v>
      </c>
      <c r="I28">
        <v>23</v>
      </c>
      <c r="L28">
        <f>Constants!$B$2</f>
        <v>2.8</v>
      </c>
      <c r="M28">
        <f t="shared" si="8"/>
        <v>270</v>
      </c>
      <c r="N28">
        <f>P28*Constants!$E$2</f>
        <v>6.12</v>
      </c>
      <c r="P28">
        <f t="shared" si="9"/>
        <v>3.6</v>
      </c>
      <c r="Q28">
        <f>P28*Constants!$B$3</f>
        <v>15.119999999999997</v>
      </c>
      <c r="R28">
        <f t="shared" si="10"/>
        <v>8.9999999999999964</v>
      </c>
      <c r="S28">
        <f t="shared" si="11"/>
        <v>19.399999999999999</v>
      </c>
      <c r="T28">
        <f>S28*Constants!$B$2</f>
        <v>54.319999999999993</v>
      </c>
      <c r="V28">
        <f t="shared" si="12"/>
        <v>0</v>
      </c>
      <c r="W28">
        <f t="shared" si="13"/>
        <v>0</v>
      </c>
      <c r="AA28" s="8"/>
      <c r="AJ28" s="4"/>
    </row>
    <row r="29" spans="1:36" x14ac:dyDescent="0.25">
      <c r="A29">
        <v>28</v>
      </c>
      <c r="B29">
        <v>9</v>
      </c>
      <c r="C29" t="s">
        <v>57</v>
      </c>
      <c r="D29" s="16" t="s">
        <v>262</v>
      </c>
      <c r="E29" s="16" t="s">
        <v>261</v>
      </c>
      <c r="F29">
        <f>1.2*2.9</f>
        <v>3.48</v>
      </c>
      <c r="G29" t="s">
        <v>44</v>
      </c>
      <c r="H29">
        <v>0</v>
      </c>
      <c r="I29">
        <f>2*(1.2+2.9)</f>
        <v>8.1999999999999993</v>
      </c>
      <c r="L29">
        <f>Constants!$B$2</f>
        <v>2.8</v>
      </c>
      <c r="M29" t="str">
        <f t="shared" si="8"/>
        <v>N/A</v>
      </c>
      <c r="N29">
        <f>P29*Constants!$E$2</f>
        <v>0</v>
      </c>
      <c r="P29">
        <f t="shared" si="9"/>
        <v>0</v>
      </c>
      <c r="Q29">
        <f>P29*Constants!$B$3</f>
        <v>0</v>
      </c>
      <c r="R29">
        <f t="shared" si="10"/>
        <v>0</v>
      </c>
      <c r="S29">
        <f t="shared" si="11"/>
        <v>8.1999999999999993</v>
      </c>
      <c r="T29">
        <f>S29*Constants!$B$2</f>
        <v>22.959999999999997</v>
      </c>
      <c r="V29">
        <f t="shared" si="12"/>
        <v>0</v>
      </c>
      <c r="W29">
        <f t="shared" si="13"/>
        <v>0</v>
      </c>
      <c r="AA29" s="8"/>
      <c r="AJ29" s="4"/>
    </row>
    <row r="30" spans="1:36" x14ac:dyDescent="0.25">
      <c r="A30">
        <v>29</v>
      </c>
      <c r="B30">
        <v>9</v>
      </c>
      <c r="C30" t="s">
        <v>49</v>
      </c>
      <c r="D30" s="16" t="s">
        <v>263</v>
      </c>
      <c r="F30">
        <v>24.58</v>
      </c>
      <c r="G30">
        <v>270</v>
      </c>
      <c r="H30">
        <v>3.6</v>
      </c>
      <c r="I30">
        <v>23</v>
      </c>
      <c r="L30">
        <f>Constants!$B$2</f>
        <v>2.8</v>
      </c>
      <c r="M30">
        <f t="shared" si="8"/>
        <v>270</v>
      </c>
      <c r="N30">
        <f>P30*Constants!$E$2</f>
        <v>6.12</v>
      </c>
      <c r="P30">
        <f t="shared" si="9"/>
        <v>3.6</v>
      </c>
      <c r="Q30">
        <f>P30*Constants!$B$3</f>
        <v>15.119999999999997</v>
      </c>
      <c r="R30">
        <f t="shared" si="10"/>
        <v>8.9999999999999964</v>
      </c>
      <c r="S30">
        <f t="shared" si="11"/>
        <v>19.399999999999999</v>
      </c>
      <c r="T30">
        <f>S30*Constants!$B$2</f>
        <v>54.319999999999993</v>
      </c>
      <c r="V30">
        <f t="shared" si="12"/>
        <v>0</v>
      </c>
      <c r="W30">
        <f t="shared" si="13"/>
        <v>0</v>
      </c>
      <c r="AA30" s="8"/>
      <c r="AJ30" s="4"/>
    </row>
    <row r="31" spans="1:36" x14ac:dyDescent="0.25">
      <c r="A31">
        <v>30</v>
      </c>
      <c r="B31">
        <v>9</v>
      </c>
      <c r="C31" t="s">
        <v>57</v>
      </c>
      <c r="D31" s="16" t="s">
        <v>276</v>
      </c>
      <c r="E31" s="16" t="s">
        <v>263</v>
      </c>
      <c r="F31">
        <f>1.2*2.9</f>
        <v>3.48</v>
      </c>
      <c r="G31" t="s">
        <v>44</v>
      </c>
      <c r="H31">
        <v>0</v>
      </c>
      <c r="I31">
        <f>2*(1.2+2.9)</f>
        <v>8.1999999999999993</v>
      </c>
      <c r="L31">
        <f>Constants!$B$2</f>
        <v>2.8</v>
      </c>
      <c r="M31" t="str">
        <f t="shared" si="8"/>
        <v>N/A</v>
      </c>
      <c r="N31">
        <f>P31*Constants!$E$2</f>
        <v>0</v>
      </c>
      <c r="P31">
        <f t="shared" si="9"/>
        <v>0</v>
      </c>
      <c r="Q31">
        <f>P31*Constants!$B$3</f>
        <v>0</v>
      </c>
      <c r="R31">
        <f t="shared" si="10"/>
        <v>0</v>
      </c>
      <c r="S31">
        <f t="shared" si="11"/>
        <v>8.1999999999999993</v>
      </c>
      <c r="T31">
        <f>S31*Constants!$B$2</f>
        <v>22.959999999999997</v>
      </c>
      <c r="V31">
        <f t="shared" si="12"/>
        <v>0</v>
      </c>
      <c r="W31">
        <f t="shared" si="13"/>
        <v>0</v>
      </c>
      <c r="AA31" s="8"/>
      <c r="AJ31" s="4"/>
    </row>
    <row r="32" spans="1:36" x14ac:dyDescent="0.25">
      <c r="A32">
        <v>31</v>
      </c>
      <c r="B32">
        <v>9</v>
      </c>
      <c r="C32" t="s">
        <v>49</v>
      </c>
      <c r="D32" s="16" t="s">
        <v>265</v>
      </c>
      <c r="F32">
        <v>20.49</v>
      </c>
      <c r="G32">
        <v>270</v>
      </c>
      <c r="H32">
        <v>3</v>
      </c>
      <c r="I32">
        <v>21.6</v>
      </c>
      <c r="L32">
        <f>Constants!$B$2</f>
        <v>2.8</v>
      </c>
      <c r="M32">
        <f t="shared" si="8"/>
        <v>270</v>
      </c>
      <c r="N32">
        <f>P32*Constants!$E$2</f>
        <v>5.0999999999999996</v>
      </c>
      <c r="P32">
        <f t="shared" si="9"/>
        <v>3</v>
      </c>
      <c r="Q32">
        <f>P32*Constants!$B$3</f>
        <v>12.599999999999998</v>
      </c>
      <c r="R32">
        <f t="shared" si="10"/>
        <v>7.4999999999999982</v>
      </c>
      <c r="S32">
        <f t="shared" si="11"/>
        <v>18.600000000000001</v>
      </c>
      <c r="T32">
        <f>S32*Constants!$B$2</f>
        <v>52.08</v>
      </c>
      <c r="V32">
        <f t="shared" si="12"/>
        <v>0</v>
      </c>
      <c r="W32">
        <f t="shared" si="13"/>
        <v>0</v>
      </c>
      <c r="AA32" s="8"/>
      <c r="AJ32" s="4"/>
    </row>
    <row r="33" spans="1:36" x14ac:dyDescent="0.25">
      <c r="A33">
        <v>32</v>
      </c>
      <c r="B33">
        <v>9</v>
      </c>
      <c r="C33" t="s">
        <v>57</v>
      </c>
      <c r="D33" s="16" t="s">
        <v>266</v>
      </c>
      <c r="E33" s="16" t="s">
        <v>265</v>
      </c>
      <c r="F33">
        <f>1.2*2.9</f>
        <v>3.48</v>
      </c>
      <c r="G33" t="s">
        <v>44</v>
      </c>
      <c r="H33">
        <v>0</v>
      </c>
      <c r="I33">
        <f>2*(1.2+2.9)</f>
        <v>8.1999999999999993</v>
      </c>
      <c r="L33">
        <f>Constants!$B$2</f>
        <v>2.8</v>
      </c>
      <c r="M33" t="str">
        <f t="shared" si="8"/>
        <v>N/A</v>
      </c>
      <c r="N33">
        <f>P33*Constants!$E$2</f>
        <v>0</v>
      </c>
      <c r="P33">
        <f t="shared" si="9"/>
        <v>0</v>
      </c>
      <c r="Q33">
        <f>P33*Constants!$B$3</f>
        <v>0</v>
      </c>
      <c r="R33">
        <f t="shared" si="10"/>
        <v>0</v>
      </c>
      <c r="S33">
        <f t="shared" si="11"/>
        <v>8.1999999999999993</v>
      </c>
      <c r="T33">
        <f>S33*Constants!$B$2</f>
        <v>22.959999999999997</v>
      </c>
      <c r="V33">
        <f t="shared" si="12"/>
        <v>0</v>
      </c>
      <c r="W33">
        <f t="shared" si="13"/>
        <v>0</v>
      </c>
      <c r="AA33" s="8"/>
      <c r="AJ33" s="4"/>
    </row>
    <row r="34" spans="1:36" x14ac:dyDescent="0.25">
      <c r="A34">
        <v>33</v>
      </c>
      <c r="B34">
        <v>9</v>
      </c>
      <c r="C34" t="s">
        <v>49</v>
      </c>
      <c r="D34" s="16" t="s">
        <v>284</v>
      </c>
      <c r="E34" s="16"/>
      <c r="F34">
        <v>19.18</v>
      </c>
      <c r="G34">
        <v>270</v>
      </c>
      <c r="H34">
        <v>3</v>
      </c>
      <c r="I34">
        <v>21.6</v>
      </c>
      <c r="L34">
        <f>Constants!$B$2</f>
        <v>2.8</v>
      </c>
      <c r="M34">
        <f t="shared" ref="M34:M35" si="26">IF(N34&gt;0,G34,"N/A")</f>
        <v>270</v>
      </c>
      <c r="N34">
        <f>P34*Constants!$E$2</f>
        <v>5.0999999999999996</v>
      </c>
      <c r="P34">
        <f t="shared" ref="P34:P35" si="27">H34</f>
        <v>3</v>
      </c>
      <c r="Q34">
        <f>P34*Constants!$B$3</f>
        <v>12.599999999999998</v>
      </c>
      <c r="R34">
        <f t="shared" ref="R34:R35" si="28">IF(Q34-N34&lt;=0, 0, Q34-N34)</f>
        <v>7.4999999999999982</v>
      </c>
      <c r="S34">
        <f t="shared" ref="S34:S35" si="29">I34-P34</f>
        <v>18.600000000000001</v>
      </c>
      <c r="T34">
        <f>S34*Constants!$B$2</f>
        <v>52.08</v>
      </c>
      <c r="V34">
        <f t="shared" ref="V34:V35" si="30">IF(B34="E",1,0)</f>
        <v>0</v>
      </c>
      <c r="W34">
        <f t="shared" ref="W34:W35" si="31">IF(B34=10,1,0)</f>
        <v>0</v>
      </c>
      <c r="AA34" s="8"/>
      <c r="AJ34" s="4"/>
    </row>
    <row r="35" spans="1:36" x14ac:dyDescent="0.25">
      <c r="A35">
        <v>34</v>
      </c>
      <c r="B35">
        <v>9</v>
      </c>
      <c r="C35" t="s">
        <v>57</v>
      </c>
      <c r="D35" s="16" t="s">
        <v>264</v>
      </c>
      <c r="E35" s="16" t="s">
        <v>284</v>
      </c>
      <c r="F35">
        <f>1.2*2.9</f>
        <v>3.48</v>
      </c>
      <c r="G35" t="s">
        <v>44</v>
      </c>
      <c r="H35">
        <v>0</v>
      </c>
      <c r="I35">
        <f>2*(1.2+2.9)</f>
        <v>8.1999999999999993</v>
      </c>
      <c r="L35">
        <f>Constants!$B$2</f>
        <v>2.8</v>
      </c>
      <c r="M35" t="str">
        <f t="shared" si="26"/>
        <v>N/A</v>
      </c>
      <c r="N35">
        <f>P35*Constants!$E$2</f>
        <v>0</v>
      </c>
      <c r="P35">
        <f t="shared" si="27"/>
        <v>0</v>
      </c>
      <c r="Q35">
        <f>P35*Constants!$B$3</f>
        <v>0</v>
      </c>
      <c r="R35">
        <f t="shared" si="28"/>
        <v>0</v>
      </c>
      <c r="S35">
        <f t="shared" si="29"/>
        <v>8.1999999999999993</v>
      </c>
      <c r="T35">
        <f>S35*Constants!$B$2</f>
        <v>22.959999999999997</v>
      </c>
      <c r="V35">
        <f t="shared" si="30"/>
        <v>0</v>
      </c>
      <c r="W35">
        <f t="shared" si="31"/>
        <v>0</v>
      </c>
      <c r="AA35" s="8"/>
      <c r="AJ35" s="4"/>
    </row>
    <row r="36" spans="1:36" x14ac:dyDescent="0.25">
      <c r="A36">
        <v>35</v>
      </c>
      <c r="B36">
        <v>9</v>
      </c>
      <c r="C36" t="s">
        <v>49</v>
      </c>
      <c r="D36" s="16" t="s">
        <v>267</v>
      </c>
      <c r="E36" s="16"/>
      <c r="F36">
        <v>20.49</v>
      </c>
      <c r="G36">
        <v>270</v>
      </c>
      <c r="H36">
        <v>3</v>
      </c>
      <c r="I36">
        <v>21.6</v>
      </c>
      <c r="L36">
        <f>Constants!$B$2</f>
        <v>2.8</v>
      </c>
      <c r="M36">
        <f t="shared" si="8"/>
        <v>270</v>
      </c>
      <c r="N36">
        <f>P36*Constants!$E$2</f>
        <v>5.0999999999999996</v>
      </c>
      <c r="P36">
        <f t="shared" si="9"/>
        <v>3</v>
      </c>
      <c r="Q36">
        <f>P36*Constants!$B$3</f>
        <v>12.599999999999998</v>
      </c>
      <c r="R36">
        <f t="shared" si="10"/>
        <v>7.4999999999999982</v>
      </c>
      <c r="S36">
        <f t="shared" si="11"/>
        <v>18.600000000000001</v>
      </c>
      <c r="T36">
        <f>S36*Constants!$B$2</f>
        <v>52.08</v>
      </c>
      <c r="V36">
        <f t="shared" si="12"/>
        <v>0</v>
      </c>
      <c r="W36">
        <f t="shared" si="13"/>
        <v>0</v>
      </c>
      <c r="AA36" s="8"/>
      <c r="AJ36" s="4"/>
    </row>
    <row r="37" spans="1:36" x14ac:dyDescent="0.25">
      <c r="A37">
        <v>36</v>
      </c>
      <c r="B37">
        <v>9</v>
      </c>
      <c r="C37" t="s">
        <v>57</v>
      </c>
      <c r="D37" s="16" t="s">
        <v>268</v>
      </c>
      <c r="E37" s="16" t="s">
        <v>267</v>
      </c>
      <c r="F37">
        <f>1.2*2.9</f>
        <v>3.48</v>
      </c>
      <c r="G37" t="s">
        <v>44</v>
      </c>
      <c r="H37">
        <v>0</v>
      </c>
      <c r="I37">
        <f>2*(1.2+2.9)</f>
        <v>8.1999999999999993</v>
      </c>
      <c r="L37">
        <f>Constants!$B$2</f>
        <v>2.8</v>
      </c>
      <c r="M37" t="str">
        <f t="shared" si="8"/>
        <v>N/A</v>
      </c>
      <c r="N37">
        <f>P37*Constants!$E$2</f>
        <v>0</v>
      </c>
      <c r="P37">
        <f t="shared" si="9"/>
        <v>0</v>
      </c>
      <c r="Q37">
        <f>P37*Constants!$B$3</f>
        <v>0</v>
      </c>
      <c r="R37">
        <f t="shared" si="10"/>
        <v>0</v>
      </c>
      <c r="S37">
        <f t="shared" si="11"/>
        <v>8.1999999999999993</v>
      </c>
      <c r="T37">
        <f>S37*Constants!$B$2</f>
        <v>22.959999999999997</v>
      </c>
      <c r="V37">
        <f t="shared" si="12"/>
        <v>0</v>
      </c>
      <c r="W37">
        <f t="shared" si="13"/>
        <v>0</v>
      </c>
      <c r="AA37" s="8"/>
      <c r="AJ37" s="4"/>
    </row>
    <row r="38" spans="1:36" x14ac:dyDescent="0.25">
      <c r="A38">
        <v>37</v>
      </c>
      <c r="B38">
        <v>9</v>
      </c>
      <c r="C38" t="s">
        <v>49</v>
      </c>
      <c r="D38" s="16" t="s">
        <v>269</v>
      </c>
      <c r="F38">
        <v>24.58</v>
      </c>
      <c r="G38">
        <v>270</v>
      </c>
      <c r="H38">
        <v>3.6</v>
      </c>
      <c r="I38">
        <v>23</v>
      </c>
      <c r="L38">
        <f>Constants!$B$2</f>
        <v>2.8</v>
      </c>
      <c r="M38">
        <f t="shared" si="8"/>
        <v>270</v>
      </c>
      <c r="N38">
        <f>P38*Constants!$E$2</f>
        <v>6.12</v>
      </c>
      <c r="P38">
        <f t="shared" si="9"/>
        <v>3.6</v>
      </c>
      <c r="Q38">
        <f>P38*Constants!$B$3</f>
        <v>15.119999999999997</v>
      </c>
      <c r="R38">
        <f t="shared" si="10"/>
        <v>8.9999999999999964</v>
      </c>
      <c r="S38">
        <f t="shared" si="11"/>
        <v>19.399999999999999</v>
      </c>
      <c r="T38">
        <f>S38*Constants!$B$2</f>
        <v>54.319999999999993</v>
      </c>
      <c r="V38">
        <f t="shared" si="12"/>
        <v>0</v>
      </c>
      <c r="W38">
        <f t="shared" si="13"/>
        <v>0</v>
      </c>
      <c r="AA38" s="8"/>
      <c r="AJ38" s="4"/>
    </row>
    <row r="39" spans="1:36" x14ac:dyDescent="0.25">
      <c r="A39">
        <v>38</v>
      </c>
      <c r="B39">
        <v>9</v>
      </c>
      <c r="C39" t="s">
        <v>57</v>
      </c>
      <c r="D39" s="16" t="s">
        <v>270</v>
      </c>
      <c r="E39" s="16" t="s">
        <v>269</v>
      </c>
      <c r="F39">
        <f>1.2*2.9</f>
        <v>3.48</v>
      </c>
      <c r="G39" t="s">
        <v>44</v>
      </c>
      <c r="H39">
        <v>0</v>
      </c>
      <c r="I39">
        <f>2*(1.2+2.9)</f>
        <v>8.1999999999999993</v>
      </c>
      <c r="L39">
        <f>Constants!$B$2</f>
        <v>2.8</v>
      </c>
      <c r="M39" t="str">
        <f t="shared" si="8"/>
        <v>N/A</v>
      </c>
      <c r="N39">
        <f>P39*Constants!$E$2</f>
        <v>0</v>
      </c>
      <c r="P39">
        <f t="shared" si="9"/>
        <v>0</v>
      </c>
      <c r="Q39">
        <f>P39*Constants!$B$3</f>
        <v>0</v>
      </c>
      <c r="R39">
        <f t="shared" si="10"/>
        <v>0</v>
      </c>
      <c r="S39">
        <f t="shared" si="11"/>
        <v>8.1999999999999993</v>
      </c>
      <c r="T39">
        <f>S39*Constants!$B$2</f>
        <v>22.959999999999997</v>
      </c>
      <c r="V39">
        <f t="shared" si="12"/>
        <v>0</v>
      </c>
      <c r="W39">
        <f t="shared" si="13"/>
        <v>0</v>
      </c>
      <c r="AA39" s="8"/>
      <c r="AJ39" s="4"/>
    </row>
    <row r="40" spans="1:36" x14ac:dyDescent="0.25">
      <c r="A40">
        <v>39</v>
      </c>
      <c r="B40">
        <v>9</v>
      </c>
      <c r="C40" t="s">
        <v>49</v>
      </c>
      <c r="D40" s="16" t="s">
        <v>271</v>
      </c>
      <c r="F40">
        <v>24.58</v>
      </c>
      <c r="G40">
        <v>270</v>
      </c>
      <c r="H40">
        <v>3.6</v>
      </c>
      <c r="I40">
        <v>23</v>
      </c>
      <c r="L40">
        <f>Constants!$B$2</f>
        <v>2.8</v>
      </c>
      <c r="M40">
        <f t="shared" si="8"/>
        <v>270</v>
      </c>
      <c r="N40">
        <f>P40*Constants!$E$2</f>
        <v>6.12</v>
      </c>
      <c r="P40">
        <f t="shared" si="9"/>
        <v>3.6</v>
      </c>
      <c r="Q40">
        <f>P40*Constants!$B$3</f>
        <v>15.119999999999997</v>
      </c>
      <c r="R40">
        <f t="shared" si="10"/>
        <v>8.9999999999999964</v>
      </c>
      <c r="S40">
        <f t="shared" si="11"/>
        <v>19.399999999999999</v>
      </c>
      <c r="T40">
        <f>S40*Constants!$B$2</f>
        <v>54.319999999999993</v>
      </c>
      <c r="V40">
        <f t="shared" si="12"/>
        <v>0</v>
      </c>
      <c r="W40">
        <f t="shared" si="13"/>
        <v>0</v>
      </c>
      <c r="AA40" s="8"/>
      <c r="AJ40" s="4"/>
    </row>
    <row r="41" spans="1:36" x14ac:dyDescent="0.25">
      <c r="A41">
        <v>40</v>
      </c>
      <c r="B41">
        <v>9</v>
      </c>
      <c r="C41" t="s">
        <v>57</v>
      </c>
      <c r="D41" s="16" t="s">
        <v>272</v>
      </c>
      <c r="E41" s="16" t="s">
        <v>271</v>
      </c>
      <c r="F41">
        <f>1.2*2.9</f>
        <v>3.48</v>
      </c>
      <c r="G41" t="s">
        <v>44</v>
      </c>
      <c r="H41">
        <v>0</v>
      </c>
      <c r="I41">
        <f>2*(1.2+2.9)</f>
        <v>8.1999999999999993</v>
      </c>
      <c r="L41">
        <f>Constants!$B$2</f>
        <v>2.8</v>
      </c>
      <c r="M41" t="str">
        <f t="shared" si="8"/>
        <v>N/A</v>
      </c>
      <c r="N41">
        <f>P41*Constants!$E$2</f>
        <v>0</v>
      </c>
      <c r="P41">
        <f t="shared" si="9"/>
        <v>0</v>
      </c>
      <c r="Q41">
        <f>P41*Constants!$B$3</f>
        <v>0</v>
      </c>
      <c r="R41">
        <f t="shared" si="10"/>
        <v>0</v>
      </c>
      <c r="S41">
        <f t="shared" si="11"/>
        <v>8.1999999999999993</v>
      </c>
      <c r="T41">
        <f>S41*Constants!$B$2</f>
        <v>22.959999999999997</v>
      </c>
      <c r="V41">
        <f t="shared" si="12"/>
        <v>0</v>
      </c>
      <c r="W41">
        <f t="shared" si="13"/>
        <v>0</v>
      </c>
      <c r="AA41" s="8"/>
      <c r="AJ41" s="4"/>
    </row>
    <row r="42" spans="1:36" x14ac:dyDescent="0.25">
      <c r="A42">
        <v>41</v>
      </c>
      <c r="B42">
        <v>9</v>
      </c>
      <c r="C42" t="s">
        <v>49</v>
      </c>
      <c r="D42" s="16" t="s">
        <v>273</v>
      </c>
      <c r="F42">
        <v>24.76</v>
      </c>
      <c r="G42">
        <v>270</v>
      </c>
      <c r="H42">
        <v>1.2</v>
      </c>
      <c r="I42">
        <v>23</v>
      </c>
      <c r="L42">
        <f>Constants!$B$2</f>
        <v>2.8</v>
      </c>
      <c r="M42">
        <f t="shared" si="8"/>
        <v>270</v>
      </c>
      <c r="N42">
        <f>P42*Constants!$E$2</f>
        <v>2.04</v>
      </c>
      <c r="P42">
        <f t="shared" si="9"/>
        <v>1.2</v>
      </c>
      <c r="Q42">
        <f>P42*Constants!$B$3</f>
        <v>5.0399999999999991</v>
      </c>
      <c r="R42">
        <f t="shared" si="10"/>
        <v>2.9999999999999991</v>
      </c>
      <c r="S42">
        <f t="shared" si="11"/>
        <v>21.8</v>
      </c>
      <c r="T42">
        <f>S42*Constants!$B$2</f>
        <v>61.04</v>
      </c>
      <c r="V42">
        <f t="shared" si="12"/>
        <v>0</v>
      </c>
      <c r="W42">
        <f t="shared" si="13"/>
        <v>0</v>
      </c>
      <c r="AA42" s="8"/>
      <c r="AJ42" s="4"/>
    </row>
    <row r="43" spans="1:36" x14ac:dyDescent="0.25">
      <c r="A43">
        <v>42</v>
      </c>
      <c r="B43">
        <v>9</v>
      </c>
      <c r="C43" t="s">
        <v>67</v>
      </c>
      <c r="D43" s="16" t="s">
        <v>274</v>
      </c>
      <c r="F43">
        <v>13.37</v>
      </c>
      <c r="G43" t="s">
        <v>44</v>
      </c>
      <c r="H43">
        <v>0</v>
      </c>
      <c r="I43">
        <f>2*(4.8+3.2)</f>
        <v>16</v>
      </c>
      <c r="L43">
        <f>Constants!$B$2</f>
        <v>2.8</v>
      </c>
      <c r="M43" t="str">
        <f t="shared" si="8"/>
        <v>N/A</v>
      </c>
      <c r="N43">
        <f>P43*Constants!$E$2</f>
        <v>0</v>
      </c>
      <c r="P43">
        <f t="shared" si="9"/>
        <v>0</v>
      </c>
      <c r="Q43">
        <f>P43*Constants!$B$3</f>
        <v>0</v>
      </c>
      <c r="R43">
        <f t="shared" si="10"/>
        <v>0</v>
      </c>
      <c r="S43">
        <f t="shared" si="11"/>
        <v>16</v>
      </c>
      <c r="T43">
        <f>S43*Constants!$B$2</f>
        <v>44.8</v>
      </c>
      <c r="V43">
        <f t="shared" si="12"/>
        <v>0</v>
      </c>
      <c r="W43">
        <f t="shared" si="13"/>
        <v>0</v>
      </c>
      <c r="AA43" s="8"/>
      <c r="AJ43" s="4"/>
    </row>
    <row r="44" spans="1:36" x14ac:dyDescent="0.25">
      <c r="A44">
        <v>43</v>
      </c>
      <c r="B44">
        <v>9</v>
      </c>
      <c r="C44" t="s">
        <v>62</v>
      </c>
      <c r="D44" s="16" t="s">
        <v>275</v>
      </c>
      <c r="F44">
        <v>20.76</v>
      </c>
      <c r="G44">
        <v>90</v>
      </c>
      <c r="H44">
        <v>3.2</v>
      </c>
      <c r="I44">
        <f>2*(5.3+3.2)</f>
        <v>17</v>
      </c>
      <c r="L44">
        <f>Constants!$B$2</f>
        <v>2.8</v>
      </c>
      <c r="M44">
        <f t="shared" si="8"/>
        <v>90</v>
      </c>
      <c r="N44">
        <f>P44*Constants!$E$2</f>
        <v>5.44</v>
      </c>
      <c r="P44">
        <f t="shared" si="9"/>
        <v>3.2</v>
      </c>
      <c r="Q44">
        <f>P44*Constants!$B$3</f>
        <v>13.439999999999998</v>
      </c>
      <c r="R44">
        <f t="shared" si="10"/>
        <v>7.9999999999999973</v>
      </c>
      <c r="S44">
        <f t="shared" si="11"/>
        <v>13.8</v>
      </c>
      <c r="T44">
        <f>S44*Constants!$B$2</f>
        <v>38.64</v>
      </c>
      <c r="V44">
        <f t="shared" si="12"/>
        <v>0</v>
      </c>
      <c r="W44">
        <f t="shared" si="13"/>
        <v>0</v>
      </c>
      <c r="AA44" s="8"/>
      <c r="AJ44" s="4"/>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5"/>
    </row>
    <row r="453" spans="4:4" x14ac:dyDescent="0.25">
      <c r="D453" s="15"/>
    </row>
    <row r="454" spans="4:4" x14ac:dyDescent="0.25">
      <c r="D454" s="15"/>
    </row>
    <row r="455" spans="4:4" x14ac:dyDescent="0.25">
      <c r="D455" s="14"/>
    </row>
    <row r="456" spans="4:4" x14ac:dyDescent="0.25">
      <c r="D456" s="14"/>
    </row>
    <row r="457" spans="4:4" x14ac:dyDescent="0.25">
      <c r="D457" s="13"/>
    </row>
    <row r="458" spans="4:4" x14ac:dyDescent="0.25">
      <c r="D458" s="13"/>
    </row>
    <row r="459" spans="4:4" x14ac:dyDescent="0.25">
      <c r="D459" s="13"/>
    </row>
    <row r="460" spans="4:4" x14ac:dyDescent="0.25">
      <c r="D460" s="13"/>
    </row>
    <row r="461" spans="4:4" x14ac:dyDescent="0.25">
      <c r="D461" s="13"/>
    </row>
    <row r="462" spans="4:4" x14ac:dyDescent="0.25">
      <c r="D462" s="13"/>
    </row>
    <row r="463" spans="4:4" x14ac:dyDescent="0.25">
      <c r="D463" s="13"/>
    </row>
    <row r="464" spans="4:4" x14ac:dyDescent="0.25">
      <c r="D464" s="13"/>
    </row>
  </sheetData>
  <phoneticPr fontId="5" type="noConversion"/>
  <pageMargins left="0.7" right="0.7" top="0.78740157499999996" bottom="0.78740157499999996"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1"/>
  <sheetViews>
    <sheetView zoomScaleNormal="100" workbookViewId="0">
      <pane xSplit="4" ySplit="1" topLeftCell="E11" activePane="bottomRight" state="frozen"/>
      <selection pane="topRight" activeCell="F1" sqref="F1"/>
      <selection pane="bottomLeft" activeCell="A2" sqref="A2"/>
      <selection pane="bottomRight" activeCell="F41" sqref="F41"/>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62</v>
      </c>
      <c r="D2" s="16" t="s">
        <v>285</v>
      </c>
      <c r="F2">
        <v>27.76</v>
      </c>
      <c r="G2" t="s">
        <v>44</v>
      </c>
      <c r="H2">
        <v>0</v>
      </c>
      <c r="I2">
        <f>2*1.2*(4+4.5)</f>
        <v>20.399999999999999</v>
      </c>
      <c r="L2">
        <f>Constants!$B$2</f>
        <v>2.8</v>
      </c>
      <c r="M2" t="str">
        <f t="shared" ref="M2:M41" si="0">IF(N2&gt;0,G2,"N/A")</f>
        <v>N/A</v>
      </c>
      <c r="N2">
        <f>P2*Constants!$E$2</f>
        <v>0</v>
      </c>
      <c r="P2">
        <f>H2</f>
        <v>0</v>
      </c>
      <c r="Q2">
        <f>P2*Constants!$B$3</f>
        <v>0</v>
      </c>
      <c r="R2">
        <f>IF(Q2-N2&lt;=0, 0, Q2-N2)</f>
        <v>0</v>
      </c>
      <c r="S2">
        <f>I2-P2</f>
        <v>20.399999999999999</v>
      </c>
      <c r="T2">
        <f>S2*Constants!$B$2</f>
        <v>57.11999999999999</v>
      </c>
      <c r="V2">
        <f>IF(B2="E",1,0)</f>
        <v>0</v>
      </c>
      <c r="W2">
        <f>IF(B2=10,1,0)</f>
        <v>0</v>
      </c>
      <c r="AA2" s="8"/>
      <c r="AJ2" s="4"/>
    </row>
    <row r="3" spans="1:40" x14ac:dyDescent="0.25">
      <c r="A3">
        <v>2</v>
      </c>
      <c r="B3">
        <v>9</v>
      </c>
      <c r="C3" s="17" t="s">
        <v>49</v>
      </c>
      <c r="D3" s="16" t="s">
        <v>286</v>
      </c>
      <c r="F3">
        <v>24.76</v>
      </c>
      <c r="G3">
        <v>90</v>
      </c>
      <c r="H3">
        <v>3</v>
      </c>
      <c r="I3">
        <f>21.66</f>
        <v>21.66</v>
      </c>
      <c r="L3">
        <f>Constants!$B$2</f>
        <v>2.8</v>
      </c>
      <c r="M3">
        <f t="shared" si="0"/>
        <v>90</v>
      </c>
      <c r="N3">
        <f>P3*Constants!$E$2</f>
        <v>5.0999999999999996</v>
      </c>
      <c r="P3">
        <f t="shared" ref="P3:P41" si="1">H3</f>
        <v>3</v>
      </c>
      <c r="Q3">
        <f>P3*Constants!$B$3</f>
        <v>12.599999999999998</v>
      </c>
      <c r="R3">
        <f t="shared" ref="R3:R41" si="2">IF(Q3-N3&lt;=0, 0, Q3-N3)</f>
        <v>7.4999999999999982</v>
      </c>
      <c r="S3">
        <f t="shared" ref="S3:S40" si="3">I3-P3</f>
        <v>18.66</v>
      </c>
      <c r="T3">
        <f>S3*Constants!$B$2</f>
        <v>52.247999999999998</v>
      </c>
      <c r="V3">
        <f t="shared" ref="V3:V41" si="4">IF(B3="E",1,0)</f>
        <v>0</v>
      </c>
      <c r="W3">
        <f t="shared" ref="W3:W41" si="5">IF(B3=10,1,0)</f>
        <v>0</v>
      </c>
      <c r="AA3" s="8"/>
      <c r="AJ3" s="4"/>
    </row>
    <row r="4" spans="1:40" x14ac:dyDescent="0.25">
      <c r="A4">
        <v>3</v>
      </c>
      <c r="B4">
        <v>9</v>
      </c>
      <c r="C4" t="s">
        <v>57</v>
      </c>
      <c r="D4" s="16" t="s">
        <v>287</v>
      </c>
      <c r="E4" s="16" t="s">
        <v>286</v>
      </c>
      <c r="F4">
        <f>1.2*2.9</f>
        <v>3.48</v>
      </c>
      <c r="G4" t="s">
        <v>44</v>
      </c>
      <c r="H4">
        <v>0</v>
      </c>
      <c r="I4">
        <f>2*(1.2+2.9)</f>
        <v>8.1999999999999993</v>
      </c>
      <c r="L4">
        <f>Constants!$B$2</f>
        <v>2.8</v>
      </c>
      <c r="M4" t="str">
        <f t="shared" si="0"/>
        <v>N/A</v>
      </c>
      <c r="N4">
        <f>P4*Constants!$E$2</f>
        <v>0</v>
      </c>
      <c r="P4">
        <f>H4</f>
        <v>0</v>
      </c>
      <c r="Q4">
        <f>P4*Constants!$B$3</f>
        <v>0</v>
      </c>
      <c r="R4">
        <f>IF(Q4-N4&lt;=0, 0, Q4-N4)</f>
        <v>0</v>
      </c>
      <c r="S4">
        <f>I4-P4</f>
        <v>8.1999999999999993</v>
      </c>
      <c r="T4">
        <f>S4*Constants!$B$2</f>
        <v>22.959999999999997</v>
      </c>
      <c r="V4">
        <f>IF(B4="E",1,0)</f>
        <v>0</v>
      </c>
      <c r="W4">
        <f>IF(B4=10,1,0)</f>
        <v>0</v>
      </c>
      <c r="AA4" s="8"/>
      <c r="AJ4" s="4"/>
    </row>
    <row r="5" spans="1:40" x14ac:dyDescent="0.25">
      <c r="A5">
        <v>4</v>
      </c>
      <c r="B5">
        <v>9</v>
      </c>
      <c r="C5" t="s">
        <v>49</v>
      </c>
      <c r="D5" s="16" t="s">
        <v>288</v>
      </c>
      <c r="F5">
        <v>24.58</v>
      </c>
      <c r="G5">
        <v>90</v>
      </c>
      <c r="H5">
        <v>3</v>
      </c>
      <c r="I5">
        <f t="shared" ref="I5:I7" si="6">21.66</f>
        <v>21.66</v>
      </c>
      <c r="L5">
        <f>Constants!$B$2</f>
        <v>2.8</v>
      </c>
      <c r="M5">
        <f t="shared" si="0"/>
        <v>90</v>
      </c>
      <c r="N5">
        <f>P5*Constants!$E$2</f>
        <v>5.0999999999999996</v>
      </c>
      <c r="P5">
        <f t="shared" si="1"/>
        <v>3</v>
      </c>
      <c r="Q5">
        <f>P5*Constants!$B$3</f>
        <v>12.599999999999998</v>
      </c>
      <c r="R5">
        <f t="shared" si="2"/>
        <v>7.4999999999999982</v>
      </c>
      <c r="S5">
        <f t="shared" si="3"/>
        <v>18.66</v>
      </c>
      <c r="T5">
        <f>S5*Constants!$B$2</f>
        <v>52.247999999999998</v>
      </c>
      <c r="V5">
        <f t="shared" si="4"/>
        <v>0</v>
      </c>
      <c r="W5">
        <f t="shared" si="5"/>
        <v>0</v>
      </c>
      <c r="AA5" s="8"/>
      <c r="AJ5" s="4"/>
    </row>
    <row r="6" spans="1:40" x14ac:dyDescent="0.25">
      <c r="A6">
        <v>5</v>
      </c>
      <c r="B6">
        <v>9</v>
      </c>
      <c r="C6" t="s">
        <v>57</v>
      </c>
      <c r="D6" s="16" t="s">
        <v>289</v>
      </c>
      <c r="E6" s="16" t="s">
        <v>288</v>
      </c>
      <c r="F6">
        <f>1.2*2.9</f>
        <v>3.48</v>
      </c>
      <c r="G6" t="s">
        <v>44</v>
      </c>
      <c r="H6">
        <v>0</v>
      </c>
      <c r="I6">
        <f>2*(1.2+2.9)</f>
        <v>8.1999999999999993</v>
      </c>
      <c r="L6">
        <f>Constants!$B$2</f>
        <v>2.8</v>
      </c>
      <c r="M6" t="str">
        <f t="shared" si="0"/>
        <v>N/A</v>
      </c>
      <c r="N6">
        <f>P6*Constants!$E$2</f>
        <v>0</v>
      </c>
      <c r="P6">
        <f>H6</f>
        <v>0</v>
      </c>
      <c r="Q6">
        <f>P6*Constants!$B$3</f>
        <v>0</v>
      </c>
      <c r="R6">
        <f>IF(Q6-N6&lt;=0, 0, Q6-N6)</f>
        <v>0</v>
      </c>
      <c r="S6">
        <f>I6-P6</f>
        <v>8.1999999999999993</v>
      </c>
      <c r="T6">
        <f>S6*Constants!$B$2</f>
        <v>22.959999999999997</v>
      </c>
      <c r="V6">
        <f>IF(B6="E",1,0)</f>
        <v>0</v>
      </c>
      <c r="W6">
        <f>IF(B6=10,1,0)</f>
        <v>0</v>
      </c>
      <c r="AA6" s="8"/>
      <c r="AJ6" s="4"/>
    </row>
    <row r="7" spans="1:40" x14ac:dyDescent="0.25">
      <c r="A7">
        <v>6</v>
      </c>
      <c r="B7">
        <v>9</v>
      </c>
      <c r="C7" t="s">
        <v>49</v>
      </c>
      <c r="D7" s="16" t="s">
        <v>290</v>
      </c>
      <c r="F7">
        <v>24.58</v>
      </c>
      <c r="G7">
        <v>90</v>
      </c>
      <c r="H7">
        <v>3</v>
      </c>
      <c r="I7">
        <f t="shared" si="6"/>
        <v>21.66</v>
      </c>
      <c r="L7">
        <f>Constants!$B$2</f>
        <v>2.8</v>
      </c>
      <c r="M7">
        <f t="shared" si="0"/>
        <v>90</v>
      </c>
      <c r="N7">
        <f>P7*Constants!$E$2</f>
        <v>5.0999999999999996</v>
      </c>
      <c r="P7">
        <f t="shared" si="1"/>
        <v>3</v>
      </c>
      <c r="Q7">
        <f>P7*Constants!$B$3</f>
        <v>12.599999999999998</v>
      </c>
      <c r="R7">
        <f t="shared" si="2"/>
        <v>7.4999999999999982</v>
      </c>
      <c r="S7">
        <f t="shared" si="3"/>
        <v>18.66</v>
      </c>
      <c r="T7">
        <f>S7*Constants!$B$2</f>
        <v>52.247999999999998</v>
      </c>
      <c r="V7">
        <f t="shared" si="4"/>
        <v>0</v>
      </c>
      <c r="W7">
        <f t="shared" si="5"/>
        <v>0</v>
      </c>
      <c r="AA7" s="8"/>
      <c r="AJ7" s="4"/>
    </row>
    <row r="8" spans="1:40" x14ac:dyDescent="0.25">
      <c r="A8">
        <v>7</v>
      </c>
      <c r="B8">
        <v>9</v>
      </c>
      <c r="C8" t="s">
        <v>57</v>
      </c>
      <c r="D8" s="16" t="s">
        <v>291</v>
      </c>
      <c r="E8" s="16" t="s">
        <v>290</v>
      </c>
      <c r="F8">
        <f>1.2*2.9</f>
        <v>3.48</v>
      </c>
      <c r="G8" t="s">
        <v>44</v>
      </c>
      <c r="H8">
        <v>0</v>
      </c>
      <c r="I8">
        <f>2*(1.2+2.9)</f>
        <v>8.1999999999999993</v>
      </c>
      <c r="L8">
        <f>Constants!$B$2</f>
        <v>2.8</v>
      </c>
      <c r="M8" t="str">
        <f t="shared" si="0"/>
        <v>N/A</v>
      </c>
      <c r="N8">
        <f>P8*Constants!$E$2</f>
        <v>0</v>
      </c>
      <c r="P8">
        <f>H8</f>
        <v>0</v>
      </c>
      <c r="Q8">
        <f>P8*Constants!$B$3</f>
        <v>0</v>
      </c>
      <c r="R8">
        <f>IF(Q8-N8&lt;=0, 0, Q8-N8)</f>
        <v>0</v>
      </c>
      <c r="S8">
        <f>I8-P8</f>
        <v>8.1999999999999993</v>
      </c>
      <c r="T8">
        <f>S8*Constants!$B$2</f>
        <v>22.959999999999997</v>
      </c>
      <c r="V8">
        <f>IF(B8="E",1,0)</f>
        <v>0</v>
      </c>
      <c r="W8">
        <f>IF(B8=10,1,0)</f>
        <v>0</v>
      </c>
      <c r="AA8" s="8"/>
      <c r="AJ8" s="4"/>
    </row>
    <row r="9" spans="1:40" x14ac:dyDescent="0.25">
      <c r="A9">
        <v>8</v>
      </c>
      <c r="B9">
        <v>9</v>
      </c>
      <c r="C9" t="s">
        <v>62</v>
      </c>
      <c r="D9" s="16" t="s">
        <v>292</v>
      </c>
      <c r="F9">
        <v>110.34</v>
      </c>
      <c r="G9" t="s">
        <v>44</v>
      </c>
      <c r="H9">
        <v>0</v>
      </c>
      <c r="I9">
        <v>93.59</v>
      </c>
      <c r="L9">
        <f>Constants!$B$2</f>
        <v>2.8</v>
      </c>
      <c r="M9" t="str">
        <f t="shared" si="0"/>
        <v>N/A</v>
      </c>
      <c r="N9">
        <f>P9*Constants!$E$2</f>
        <v>0</v>
      </c>
      <c r="P9">
        <f t="shared" si="1"/>
        <v>0</v>
      </c>
      <c r="Q9">
        <f>P9*Constants!$B$3</f>
        <v>0</v>
      </c>
      <c r="R9">
        <f t="shared" si="2"/>
        <v>0</v>
      </c>
      <c r="S9">
        <f t="shared" si="3"/>
        <v>93.59</v>
      </c>
      <c r="T9">
        <f>S9*Constants!$B$2</f>
        <v>262.05200000000002</v>
      </c>
      <c r="V9">
        <f t="shared" si="4"/>
        <v>0</v>
      </c>
      <c r="W9">
        <f t="shared" si="5"/>
        <v>0</v>
      </c>
      <c r="AA9" s="8"/>
      <c r="AJ9" s="4"/>
    </row>
    <row r="10" spans="1:40" x14ac:dyDescent="0.25">
      <c r="A10">
        <v>9</v>
      </c>
      <c r="B10">
        <v>9</v>
      </c>
      <c r="C10" t="s">
        <v>49</v>
      </c>
      <c r="D10" s="16" t="s">
        <v>293</v>
      </c>
      <c r="F10">
        <v>12.56</v>
      </c>
      <c r="G10">
        <v>90</v>
      </c>
      <c r="H10">
        <v>3</v>
      </c>
      <c r="I10">
        <f>2*1.2*(4.5+2.5)</f>
        <v>16.8</v>
      </c>
      <c r="L10">
        <f>Constants!$B$2</f>
        <v>2.8</v>
      </c>
      <c r="M10">
        <f t="shared" si="0"/>
        <v>90</v>
      </c>
      <c r="N10">
        <f>P10*Constants!$E$2</f>
        <v>5.0999999999999996</v>
      </c>
      <c r="P10">
        <f t="shared" si="1"/>
        <v>3</v>
      </c>
      <c r="Q10">
        <f>P10*Constants!$B$3</f>
        <v>12.599999999999998</v>
      </c>
      <c r="R10">
        <f t="shared" si="2"/>
        <v>7.4999999999999982</v>
      </c>
      <c r="S10">
        <f t="shared" si="3"/>
        <v>13.8</v>
      </c>
      <c r="T10">
        <f>S10*Constants!$B$2</f>
        <v>38.64</v>
      </c>
      <c r="V10">
        <f t="shared" si="4"/>
        <v>0</v>
      </c>
      <c r="W10">
        <f t="shared" si="5"/>
        <v>0</v>
      </c>
      <c r="AA10" s="8"/>
      <c r="AJ10" s="4"/>
    </row>
    <row r="11" spans="1:40" x14ac:dyDescent="0.25">
      <c r="A11">
        <v>10</v>
      </c>
      <c r="B11">
        <v>9</v>
      </c>
      <c r="C11" t="s">
        <v>49</v>
      </c>
      <c r="D11" s="16" t="s">
        <v>323</v>
      </c>
      <c r="E11" s="16"/>
      <c r="F11">
        <v>25.06</v>
      </c>
      <c r="G11">
        <v>90</v>
      </c>
      <c r="H11">
        <v>3</v>
      </c>
      <c r="I11">
        <f>2*1.2*(6.5+2.5)</f>
        <v>21.599999999999998</v>
      </c>
      <c r="L11">
        <f>Constants!$B$2</f>
        <v>2.8</v>
      </c>
      <c r="M11">
        <f t="shared" si="0"/>
        <v>90</v>
      </c>
      <c r="N11">
        <f>P11*Constants!$E$2</f>
        <v>5.0999999999999996</v>
      </c>
      <c r="P11">
        <f t="shared" si="1"/>
        <v>3</v>
      </c>
      <c r="Q11">
        <f>P11*Constants!$B$3</f>
        <v>12.599999999999998</v>
      </c>
      <c r="R11">
        <f t="shared" si="2"/>
        <v>7.4999999999999982</v>
      </c>
      <c r="S11">
        <f t="shared" si="3"/>
        <v>18.599999999999998</v>
      </c>
      <c r="T11">
        <f>S11*Constants!$B$2</f>
        <v>52.079999999999991</v>
      </c>
      <c r="V11">
        <f t="shared" si="4"/>
        <v>0</v>
      </c>
      <c r="W11">
        <f t="shared" si="5"/>
        <v>0</v>
      </c>
      <c r="AA11" s="8"/>
      <c r="AJ11" s="4"/>
    </row>
    <row r="12" spans="1:40" x14ac:dyDescent="0.25">
      <c r="A12">
        <v>11</v>
      </c>
      <c r="B12">
        <v>9</v>
      </c>
      <c r="C12" t="s">
        <v>45</v>
      </c>
      <c r="D12" s="16" t="s">
        <v>294</v>
      </c>
      <c r="E12" s="16"/>
      <c r="F12">
        <v>7.76</v>
      </c>
      <c r="G12" t="s">
        <v>44</v>
      </c>
      <c r="H12">
        <v>0</v>
      </c>
      <c r="I12">
        <f>2*1.2*(2+3)</f>
        <v>12</v>
      </c>
      <c r="L12">
        <f>Constants!$B$2</f>
        <v>2.8</v>
      </c>
      <c r="M12" t="str">
        <f t="shared" si="0"/>
        <v>N/A</v>
      </c>
      <c r="N12">
        <f>P12*Constants!$E$2</f>
        <v>0</v>
      </c>
      <c r="P12">
        <f t="shared" si="1"/>
        <v>0</v>
      </c>
      <c r="Q12">
        <f>P12*Constants!$B$3</f>
        <v>0</v>
      </c>
      <c r="R12">
        <f t="shared" si="2"/>
        <v>0</v>
      </c>
      <c r="S12">
        <f t="shared" si="3"/>
        <v>12</v>
      </c>
      <c r="T12">
        <f>S12*Constants!$B$2</f>
        <v>33.599999999999994</v>
      </c>
      <c r="V12">
        <f t="shared" si="4"/>
        <v>0</v>
      </c>
      <c r="W12">
        <f t="shared" si="5"/>
        <v>0</v>
      </c>
      <c r="AA12" s="8"/>
      <c r="AJ12" s="4"/>
    </row>
    <row r="13" spans="1:40" x14ac:dyDescent="0.25">
      <c r="A13">
        <v>12</v>
      </c>
      <c r="B13">
        <v>9</v>
      </c>
      <c r="C13" t="s">
        <v>49</v>
      </c>
      <c r="D13" s="16" t="s">
        <v>295</v>
      </c>
      <c r="F13">
        <v>11.46</v>
      </c>
      <c r="G13">
        <v>90</v>
      </c>
      <c r="H13">
        <v>3</v>
      </c>
      <c r="I13">
        <f>2*1.2*(2.5+3.5)</f>
        <v>14.399999999999999</v>
      </c>
      <c r="L13">
        <f>Constants!$B$2</f>
        <v>2.8</v>
      </c>
      <c r="M13">
        <f t="shared" si="0"/>
        <v>90</v>
      </c>
      <c r="N13">
        <f>P13*Constants!$E$2</f>
        <v>5.0999999999999996</v>
      </c>
      <c r="P13">
        <f t="shared" si="1"/>
        <v>3</v>
      </c>
      <c r="Q13">
        <f>P13*Constants!$B$3</f>
        <v>12.599999999999998</v>
      </c>
      <c r="R13">
        <f t="shared" si="2"/>
        <v>7.4999999999999982</v>
      </c>
      <c r="S13">
        <f t="shared" si="3"/>
        <v>11.399999999999999</v>
      </c>
      <c r="T13">
        <f>S13*Constants!$B$2</f>
        <v>31.919999999999995</v>
      </c>
      <c r="V13">
        <f t="shared" si="4"/>
        <v>0</v>
      </c>
      <c r="W13">
        <f t="shared" si="5"/>
        <v>0</v>
      </c>
      <c r="AA13" s="8"/>
      <c r="AJ13" s="4"/>
    </row>
    <row r="14" spans="1:40" x14ac:dyDescent="0.25">
      <c r="A14">
        <v>13</v>
      </c>
      <c r="B14">
        <v>9</v>
      </c>
      <c r="C14" t="s">
        <v>49</v>
      </c>
      <c r="D14" s="16" t="s">
        <v>296</v>
      </c>
      <c r="F14">
        <v>26.16</v>
      </c>
      <c r="G14">
        <v>90</v>
      </c>
      <c r="H14">
        <v>3</v>
      </c>
      <c r="I14">
        <f>1.2*2*(2.5+6.5)</f>
        <v>21.599999999999998</v>
      </c>
      <c r="L14">
        <f>Constants!$B$2</f>
        <v>2.8</v>
      </c>
      <c r="M14">
        <f t="shared" si="0"/>
        <v>90</v>
      </c>
      <c r="N14">
        <f>P14*Constants!$E$2</f>
        <v>5.0999999999999996</v>
      </c>
      <c r="P14">
        <f t="shared" si="1"/>
        <v>3</v>
      </c>
      <c r="Q14">
        <f>P14*Constants!$B$3</f>
        <v>12.599999999999998</v>
      </c>
      <c r="R14">
        <f t="shared" si="2"/>
        <v>7.4999999999999982</v>
      </c>
      <c r="S14">
        <f t="shared" si="3"/>
        <v>18.599999999999998</v>
      </c>
      <c r="T14">
        <f>S14*Constants!$B$2</f>
        <v>52.079999999999991</v>
      </c>
      <c r="V14">
        <f t="shared" si="4"/>
        <v>0</v>
      </c>
      <c r="W14">
        <f t="shared" si="5"/>
        <v>0</v>
      </c>
      <c r="AA14" s="8"/>
      <c r="AJ14" s="4"/>
    </row>
    <row r="15" spans="1:40" x14ac:dyDescent="0.25">
      <c r="A15">
        <v>14</v>
      </c>
      <c r="B15">
        <v>9</v>
      </c>
      <c r="C15" t="s">
        <v>57</v>
      </c>
      <c r="D15" s="16" t="s">
        <v>297</v>
      </c>
      <c r="E15" s="16" t="s">
        <v>296</v>
      </c>
      <c r="F15">
        <f>1.2*2.9</f>
        <v>3.48</v>
      </c>
      <c r="G15" t="s">
        <v>44</v>
      </c>
      <c r="H15">
        <v>0</v>
      </c>
      <c r="I15">
        <f>2*(1.2+2.9)</f>
        <v>8.1999999999999993</v>
      </c>
      <c r="L15">
        <f>Constants!$B$2</f>
        <v>2.8</v>
      </c>
      <c r="M15" t="str">
        <f t="shared" si="0"/>
        <v>N/A</v>
      </c>
      <c r="N15">
        <f>P15*Constants!$E$2</f>
        <v>0</v>
      </c>
      <c r="P15">
        <f t="shared" si="1"/>
        <v>0</v>
      </c>
      <c r="Q15">
        <f>P15*Constants!$B$3</f>
        <v>0</v>
      </c>
      <c r="R15">
        <f t="shared" si="2"/>
        <v>0</v>
      </c>
      <c r="S15">
        <f t="shared" si="3"/>
        <v>8.1999999999999993</v>
      </c>
      <c r="T15">
        <f>S15*Constants!$B$2</f>
        <v>22.959999999999997</v>
      </c>
      <c r="V15">
        <f t="shared" si="4"/>
        <v>0</v>
      </c>
      <c r="W15">
        <f t="shared" si="5"/>
        <v>0</v>
      </c>
      <c r="AA15" s="8"/>
      <c r="AJ15" s="4"/>
    </row>
    <row r="16" spans="1:40" x14ac:dyDescent="0.25">
      <c r="A16">
        <v>15</v>
      </c>
      <c r="B16">
        <v>9</v>
      </c>
      <c r="C16" t="s">
        <v>49</v>
      </c>
      <c r="D16" s="16" t="s">
        <v>298</v>
      </c>
      <c r="F16">
        <v>24.58</v>
      </c>
      <c r="G16">
        <v>90</v>
      </c>
      <c r="H16">
        <v>3.6</v>
      </c>
      <c r="I16">
        <f>2*(3.6+7.9)</f>
        <v>23</v>
      </c>
      <c r="L16">
        <f>Constants!$B$2</f>
        <v>2.8</v>
      </c>
      <c r="M16">
        <f t="shared" si="0"/>
        <v>90</v>
      </c>
      <c r="N16">
        <f>P16*Constants!$E$2</f>
        <v>6.12</v>
      </c>
      <c r="P16">
        <f t="shared" si="1"/>
        <v>3.6</v>
      </c>
      <c r="Q16">
        <f>P16*Constants!$B$3</f>
        <v>15.119999999999997</v>
      </c>
      <c r="R16">
        <f t="shared" si="2"/>
        <v>8.9999999999999964</v>
      </c>
      <c r="S16">
        <f t="shared" si="3"/>
        <v>19.399999999999999</v>
      </c>
      <c r="T16">
        <f>S16*Constants!$B$2</f>
        <v>54.319999999999993</v>
      </c>
      <c r="V16">
        <f t="shared" si="4"/>
        <v>0</v>
      </c>
      <c r="W16">
        <f t="shared" si="5"/>
        <v>0</v>
      </c>
      <c r="AA16" s="8"/>
      <c r="AJ16" s="4"/>
    </row>
    <row r="17" spans="1:36" x14ac:dyDescent="0.25">
      <c r="A17">
        <v>16</v>
      </c>
      <c r="B17">
        <v>9</v>
      </c>
      <c r="C17" t="s">
        <v>57</v>
      </c>
      <c r="D17" s="16" t="s">
        <v>299</v>
      </c>
      <c r="E17" s="16" t="s">
        <v>298</v>
      </c>
      <c r="F17">
        <f>1.2*2.9</f>
        <v>3.48</v>
      </c>
      <c r="G17" t="s">
        <v>44</v>
      </c>
      <c r="H17">
        <v>0</v>
      </c>
      <c r="I17">
        <f>2*(1.2+2.9)</f>
        <v>8.1999999999999993</v>
      </c>
      <c r="L17">
        <f>Constants!$B$2</f>
        <v>2.8</v>
      </c>
      <c r="M17" t="str">
        <f t="shared" si="0"/>
        <v>N/A</v>
      </c>
      <c r="N17">
        <f>P17*Constants!$E$2</f>
        <v>0</v>
      </c>
      <c r="P17">
        <f t="shared" si="1"/>
        <v>0</v>
      </c>
      <c r="Q17">
        <f>P17*Constants!$B$3</f>
        <v>0</v>
      </c>
      <c r="R17">
        <f t="shared" si="2"/>
        <v>0</v>
      </c>
      <c r="S17">
        <f t="shared" si="3"/>
        <v>8.1999999999999993</v>
      </c>
      <c r="T17">
        <f>S17*Constants!$B$2</f>
        <v>22.959999999999997</v>
      </c>
      <c r="V17">
        <f t="shared" si="4"/>
        <v>0</v>
      </c>
      <c r="W17">
        <f t="shared" si="5"/>
        <v>0</v>
      </c>
      <c r="AA17" s="8"/>
      <c r="AJ17" s="4"/>
    </row>
    <row r="18" spans="1:36" x14ac:dyDescent="0.25">
      <c r="A18">
        <v>17</v>
      </c>
      <c r="B18">
        <v>9</v>
      </c>
      <c r="C18" t="s">
        <v>49</v>
      </c>
      <c r="D18" s="16" t="s">
        <v>300</v>
      </c>
      <c r="F18">
        <v>24.58</v>
      </c>
      <c r="G18">
        <v>90</v>
      </c>
      <c r="H18">
        <v>3.6</v>
      </c>
      <c r="I18">
        <f>2*(3.6+7.9)</f>
        <v>23</v>
      </c>
      <c r="L18">
        <f>Constants!$B$2</f>
        <v>2.8</v>
      </c>
      <c r="M18">
        <f t="shared" si="0"/>
        <v>90</v>
      </c>
      <c r="N18">
        <f>P18*Constants!$E$2</f>
        <v>6.12</v>
      </c>
      <c r="P18">
        <f t="shared" si="1"/>
        <v>3.6</v>
      </c>
      <c r="Q18">
        <f>P18*Constants!$B$3</f>
        <v>15.119999999999997</v>
      </c>
      <c r="R18">
        <f t="shared" si="2"/>
        <v>8.9999999999999964</v>
      </c>
      <c r="S18">
        <f t="shared" si="3"/>
        <v>19.399999999999999</v>
      </c>
      <c r="T18">
        <f>S18*Constants!$B$2</f>
        <v>54.319999999999993</v>
      </c>
      <c r="V18">
        <f t="shared" si="4"/>
        <v>0</v>
      </c>
      <c r="W18">
        <f t="shared" si="5"/>
        <v>0</v>
      </c>
      <c r="AA18" s="8"/>
      <c r="AJ18" s="4"/>
    </row>
    <row r="19" spans="1:36" x14ac:dyDescent="0.25">
      <c r="A19">
        <v>18</v>
      </c>
      <c r="B19">
        <v>9</v>
      </c>
      <c r="C19" t="s">
        <v>57</v>
      </c>
      <c r="D19" s="16" t="s">
        <v>301</v>
      </c>
      <c r="E19" s="16" t="s">
        <v>300</v>
      </c>
      <c r="F19">
        <f>1.2*2.9</f>
        <v>3.48</v>
      </c>
      <c r="G19" t="s">
        <v>44</v>
      </c>
      <c r="H19">
        <v>0</v>
      </c>
      <c r="I19">
        <f>2*(1.2+2.9)</f>
        <v>8.1999999999999993</v>
      </c>
      <c r="L19">
        <f>Constants!$B$2</f>
        <v>2.8</v>
      </c>
      <c r="M19" t="str">
        <f t="shared" si="0"/>
        <v>N/A</v>
      </c>
      <c r="N19">
        <f>P19*Constants!$E$2</f>
        <v>0</v>
      </c>
      <c r="P19">
        <f t="shared" si="1"/>
        <v>0</v>
      </c>
      <c r="Q19">
        <f>P19*Constants!$B$3</f>
        <v>0</v>
      </c>
      <c r="R19">
        <f t="shared" si="2"/>
        <v>0</v>
      </c>
      <c r="S19">
        <f t="shared" si="3"/>
        <v>8.1999999999999993</v>
      </c>
      <c r="T19">
        <f>S19*Constants!$B$2</f>
        <v>22.959999999999997</v>
      </c>
      <c r="V19">
        <f t="shared" si="4"/>
        <v>0</v>
      </c>
      <c r="W19">
        <f t="shared" si="5"/>
        <v>0</v>
      </c>
      <c r="AA19" s="8"/>
      <c r="AJ19" s="4"/>
    </row>
    <row r="20" spans="1:36" x14ac:dyDescent="0.25">
      <c r="A20">
        <v>19</v>
      </c>
      <c r="B20">
        <v>9</v>
      </c>
      <c r="C20" t="s">
        <v>49</v>
      </c>
      <c r="D20" s="16" t="s">
        <v>302</v>
      </c>
      <c r="E20" s="16"/>
      <c r="F20">
        <v>24.76</v>
      </c>
      <c r="G20">
        <v>90</v>
      </c>
      <c r="H20">
        <f>3.6+3.3</f>
        <v>6.9</v>
      </c>
      <c r="I20">
        <f>2*(3.6+7.9)</f>
        <v>23</v>
      </c>
      <c r="L20">
        <f>Constants!$B$2</f>
        <v>2.8</v>
      </c>
      <c r="M20">
        <f t="shared" si="0"/>
        <v>90</v>
      </c>
      <c r="N20">
        <f>P20*Constants!$E$2</f>
        <v>11.73</v>
      </c>
      <c r="P20">
        <f t="shared" si="1"/>
        <v>6.9</v>
      </c>
      <c r="Q20">
        <f>P20*Constants!$B$3</f>
        <v>28.979999999999997</v>
      </c>
      <c r="R20">
        <f t="shared" si="2"/>
        <v>17.249999999999996</v>
      </c>
      <c r="S20">
        <f t="shared" si="3"/>
        <v>16.100000000000001</v>
      </c>
      <c r="T20">
        <f>S20*Constants!$B$2</f>
        <v>45.08</v>
      </c>
      <c r="V20">
        <f t="shared" si="4"/>
        <v>0</v>
      </c>
      <c r="W20">
        <f t="shared" si="5"/>
        <v>0</v>
      </c>
      <c r="AA20" s="8"/>
      <c r="AJ20" s="4"/>
    </row>
    <row r="21" spans="1:36" x14ac:dyDescent="0.25">
      <c r="A21">
        <v>20</v>
      </c>
      <c r="B21">
        <v>9</v>
      </c>
      <c r="C21" t="s">
        <v>57</v>
      </c>
      <c r="D21" s="16" t="s">
        <v>303</v>
      </c>
      <c r="E21" s="16" t="s">
        <v>302</v>
      </c>
      <c r="F21">
        <f>1.2*2.9</f>
        <v>3.48</v>
      </c>
      <c r="G21" t="s">
        <v>44</v>
      </c>
      <c r="H21">
        <v>0</v>
      </c>
      <c r="I21">
        <f>2*(1.2+2.9)</f>
        <v>8.1999999999999993</v>
      </c>
      <c r="L21">
        <f>Constants!$B$2</f>
        <v>2.8</v>
      </c>
      <c r="M21" t="str">
        <f t="shared" si="0"/>
        <v>N/A</v>
      </c>
      <c r="N21">
        <f>P21*Constants!$E$2</f>
        <v>0</v>
      </c>
      <c r="P21">
        <f t="shared" si="1"/>
        <v>0</v>
      </c>
      <c r="Q21">
        <f>P21*Constants!$B$3</f>
        <v>0</v>
      </c>
      <c r="R21">
        <f t="shared" si="2"/>
        <v>0</v>
      </c>
      <c r="S21">
        <f t="shared" si="3"/>
        <v>8.1999999999999993</v>
      </c>
      <c r="T21">
        <f>S21*Constants!$B$2</f>
        <v>22.959999999999997</v>
      </c>
      <c r="V21">
        <f t="shared" si="4"/>
        <v>0</v>
      </c>
      <c r="W21">
        <f t="shared" si="5"/>
        <v>0</v>
      </c>
      <c r="AA21" s="8"/>
      <c r="AJ21" s="4"/>
    </row>
    <row r="22" spans="1:36" x14ac:dyDescent="0.25">
      <c r="A22">
        <v>21</v>
      </c>
      <c r="B22">
        <v>9</v>
      </c>
      <c r="C22" t="s">
        <v>64</v>
      </c>
      <c r="D22" s="16" t="s">
        <v>304</v>
      </c>
      <c r="F22">
        <v>3.72</v>
      </c>
      <c r="G22">
        <v>90</v>
      </c>
      <c r="H22">
        <v>1.3</v>
      </c>
      <c r="I22">
        <f>2*(2.8+1.3)</f>
        <v>8.1999999999999993</v>
      </c>
      <c r="L22">
        <f>Constants!$B$2</f>
        <v>2.8</v>
      </c>
      <c r="M22">
        <f t="shared" si="0"/>
        <v>90</v>
      </c>
      <c r="N22">
        <f>P22*Constants!$E$2</f>
        <v>2.21</v>
      </c>
      <c r="P22">
        <f t="shared" si="1"/>
        <v>1.3</v>
      </c>
      <c r="Q22">
        <f>P22*Constants!$B$3</f>
        <v>5.4599999999999991</v>
      </c>
      <c r="R22">
        <f t="shared" si="2"/>
        <v>3.2499999999999991</v>
      </c>
      <c r="S22">
        <f t="shared" si="3"/>
        <v>6.8999999999999995</v>
      </c>
      <c r="T22">
        <f>S22*Constants!$B$2</f>
        <v>19.319999999999997</v>
      </c>
      <c r="V22">
        <f t="shared" si="4"/>
        <v>0</v>
      </c>
      <c r="W22">
        <f t="shared" si="5"/>
        <v>0</v>
      </c>
      <c r="AA22" s="8"/>
      <c r="AJ22" s="4"/>
    </row>
    <row r="23" spans="1:36" x14ac:dyDescent="0.25">
      <c r="A23">
        <v>22</v>
      </c>
      <c r="B23">
        <v>9</v>
      </c>
      <c r="C23" t="s">
        <v>64</v>
      </c>
      <c r="D23" s="16" t="s">
        <v>305</v>
      </c>
      <c r="F23">
        <v>3.72</v>
      </c>
      <c r="G23">
        <v>90</v>
      </c>
      <c r="H23">
        <v>1.3</v>
      </c>
      <c r="I23">
        <f>2*(2.8+1.3)</f>
        <v>8.1999999999999993</v>
      </c>
      <c r="L23">
        <f>Constants!$B$2</f>
        <v>2.8</v>
      </c>
      <c r="M23">
        <f t="shared" si="0"/>
        <v>90</v>
      </c>
      <c r="N23">
        <f>P23*Constants!$E$2</f>
        <v>2.21</v>
      </c>
      <c r="P23">
        <f t="shared" si="1"/>
        <v>1.3</v>
      </c>
      <c r="Q23">
        <f>P23*Constants!$B$3</f>
        <v>5.4599999999999991</v>
      </c>
      <c r="R23">
        <f t="shared" si="2"/>
        <v>3.2499999999999991</v>
      </c>
      <c r="S23">
        <f t="shared" si="3"/>
        <v>6.8999999999999995</v>
      </c>
      <c r="T23">
        <f>S23*Constants!$B$2</f>
        <v>19.319999999999997</v>
      </c>
      <c r="V23">
        <f t="shared" si="4"/>
        <v>0</v>
      </c>
      <c r="W23">
        <f t="shared" si="5"/>
        <v>0</v>
      </c>
      <c r="AA23" s="8"/>
      <c r="AJ23" s="4"/>
    </row>
    <row r="24" spans="1:36" x14ac:dyDescent="0.25">
      <c r="A24">
        <v>23</v>
      </c>
      <c r="B24">
        <v>9</v>
      </c>
      <c r="C24" t="s">
        <v>49</v>
      </c>
      <c r="D24" s="16" t="s">
        <v>306</v>
      </c>
      <c r="F24">
        <v>24.73</v>
      </c>
      <c r="G24">
        <v>270</v>
      </c>
      <c r="H24">
        <f>3.6+3.3</f>
        <v>6.9</v>
      </c>
      <c r="I24">
        <f>2*(3.6+7.9)</f>
        <v>23</v>
      </c>
      <c r="L24">
        <f>Constants!$B$2</f>
        <v>2.8</v>
      </c>
      <c r="M24">
        <f t="shared" si="0"/>
        <v>270</v>
      </c>
      <c r="N24">
        <f>P24*Constants!$E$2</f>
        <v>11.73</v>
      </c>
      <c r="P24">
        <f t="shared" si="1"/>
        <v>6.9</v>
      </c>
      <c r="Q24">
        <f>P24*Constants!$B$3</f>
        <v>28.979999999999997</v>
      </c>
      <c r="R24">
        <f t="shared" si="2"/>
        <v>17.249999999999996</v>
      </c>
      <c r="S24">
        <f t="shared" si="3"/>
        <v>16.100000000000001</v>
      </c>
      <c r="T24">
        <f>S24*Constants!$B$2</f>
        <v>45.08</v>
      </c>
      <c r="V24">
        <f t="shared" si="4"/>
        <v>0</v>
      </c>
      <c r="W24">
        <f t="shared" si="5"/>
        <v>0</v>
      </c>
      <c r="AA24" s="8"/>
      <c r="AJ24" s="4"/>
    </row>
    <row r="25" spans="1:36" x14ac:dyDescent="0.25">
      <c r="A25">
        <v>24</v>
      </c>
      <c r="B25">
        <v>9</v>
      </c>
      <c r="C25" t="s">
        <v>57</v>
      </c>
      <c r="D25" s="16" t="s">
        <v>307</v>
      </c>
      <c r="E25" s="16" t="s">
        <v>306</v>
      </c>
      <c r="F25">
        <f>1.2*2.9</f>
        <v>3.48</v>
      </c>
      <c r="G25" t="s">
        <v>44</v>
      </c>
      <c r="H25">
        <v>0</v>
      </c>
      <c r="I25">
        <f>2*(1.2+2.9)</f>
        <v>8.1999999999999993</v>
      </c>
      <c r="L25">
        <f>Constants!$B$2</f>
        <v>2.8</v>
      </c>
      <c r="M25" t="str">
        <f t="shared" si="0"/>
        <v>N/A</v>
      </c>
      <c r="N25">
        <f>P25*Constants!$E$2</f>
        <v>0</v>
      </c>
      <c r="P25">
        <f t="shared" si="1"/>
        <v>0</v>
      </c>
      <c r="Q25">
        <f>P25*Constants!$B$3</f>
        <v>0</v>
      </c>
      <c r="R25">
        <f t="shared" si="2"/>
        <v>0</v>
      </c>
      <c r="S25">
        <f t="shared" si="3"/>
        <v>8.1999999999999993</v>
      </c>
      <c r="T25">
        <f>S25*Constants!$B$2</f>
        <v>22.959999999999997</v>
      </c>
      <c r="V25">
        <f t="shared" si="4"/>
        <v>0</v>
      </c>
      <c r="W25">
        <f t="shared" si="5"/>
        <v>0</v>
      </c>
      <c r="AA25" s="8"/>
      <c r="AJ25" s="4"/>
    </row>
    <row r="26" spans="1:36" x14ac:dyDescent="0.25">
      <c r="A26">
        <v>25</v>
      </c>
      <c r="B26">
        <v>9</v>
      </c>
      <c r="C26" t="s">
        <v>49</v>
      </c>
      <c r="D26" s="16" t="s">
        <v>308</v>
      </c>
      <c r="F26">
        <v>24.58</v>
      </c>
      <c r="G26">
        <v>270</v>
      </c>
      <c r="H26">
        <v>3.6</v>
      </c>
      <c r="I26">
        <v>23</v>
      </c>
      <c r="L26">
        <f>Constants!$B$2</f>
        <v>2.8</v>
      </c>
      <c r="M26">
        <f t="shared" si="0"/>
        <v>270</v>
      </c>
      <c r="N26">
        <f>P26*Constants!$E$2</f>
        <v>6.12</v>
      </c>
      <c r="P26">
        <f t="shared" si="1"/>
        <v>3.6</v>
      </c>
      <c r="Q26">
        <f>P26*Constants!$B$3</f>
        <v>15.119999999999997</v>
      </c>
      <c r="R26">
        <f t="shared" si="2"/>
        <v>8.9999999999999964</v>
      </c>
      <c r="S26">
        <f t="shared" si="3"/>
        <v>19.399999999999999</v>
      </c>
      <c r="T26">
        <f>S26*Constants!$B$2</f>
        <v>54.319999999999993</v>
      </c>
      <c r="V26">
        <f t="shared" si="4"/>
        <v>0</v>
      </c>
      <c r="W26">
        <f t="shared" si="5"/>
        <v>0</v>
      </c>
      <c r="AA26" s="8"/>
      <c r="AJ26" s="4"/>
    </row>
    <row r="27" spans="1:36" x14ac:dyDescent="0.25">
      <c r="A27">
        <v>26</v>
      </c>
      <c r="B27">
        <v>9</v>
      </c>
      <c r="C27" t="s">
        <v>57</v>
      </c>
      <c r="D27" s="16" t="s">
        <v>309</v>
      </c>
      <c r="E27" s="16" t="s">
        <v>308</v>
      </c>
      <c r="F27">
        <f>1.2*2.9</f>
        <v>3.48</v>
      </c>
      <c r="G27" t="s">
        <v>44</v>
      </c>
      <c r="H27">
        <v>0</v>
      </c>
      <c r="I27">
        <f>2*(1.2+2.9)</f>
        <v>8.1999999999999993</v>
      </c>
      <c r="L27">
        <f>Constants!$B$2</f>
        <v>2.8</v>
      </c>
      <c r="M27" t="str">
        <f t="shared" si="0"/>
        <v>N/A</v>
      </c>
      <c r="N27">
        <f>P27*Constants!$E$2</f>
        <v>0</v>
      </c>
      <c r="P27">
        <f t="shared" si="1"/>
        <v>0</v>
      </c>
      <c r="Q27">
        <f>P27*Constants!$B$3</f>
        <v>0</v>
      </c>
      <c r="R27">
        <f t="shared" si="2"/>
        <v>0</v>
      </c>
      <c r="S27">
        <f t="shared" si="3"/>
        <v>8.1999999999999993</v>
      </c>
      <c r="T27">
        <f>S27*Constants!$B$2</f>
        <v>22.959999999999997</v>
      </c>
      <c r="V27">
        <f t="shared" si="4"/>
        <v>0</v>
      </c>
      <c r="W27">
        <f t="shared" si="5"/>
        <v>0</v>
      </c>
      <c r="AA27" s="8"/>
      <c r="AJ27" s="4"/>
    </row>
    <row r="28" spans="1:36" x14ac:dyDescent="0.25">
      <c r="A28">
        <v>27</v>
      </c>
      <c r="B28">
        <v>9</v>
      </c>
      <c r="C28" t="s">
        <v>49</v>
      </c>
      <c r="D28" s="16" t="s">
        <v>310</v>
      </c>
      <c r="F28">
        <v>24.58</v>
      </c>
      <c r="G28">
        <v>270</v>
      </c>
      <c r="H28">
        <v>3.6</v>
      </c>
      <c r="I28">
        <v>23</v>
      </c>
      <c r="L28">
        <f>Constants!$B$2</f>
        <v>2.8</v>
      </c>
      <c r="M28">
        <f t="shared" si="0"/>
        <v>270</v>
      </c>
      <c r="N28">
        <f>P28*Constants!$E$2</f>
        <v>6.12</v>
      </c>
      <c r="P28">
        <f t="shared" si="1"/>
        <v>3.6</v>
      </c>
      <c r="Q28">
        <f>P28*Constants!$B$3</f>
        <v>15.119999999999997</v>
      </c>
      <c r="R28">
        <f t="shared" si="2"/>
        <v>8.9999999999999964</v>
      </c>
      <c r="S28">
        <f t="shared" si="3"/>
        <v>19.399999999999999</v>
      </c>
      <c r="T28">
        <f>S28*Constants!$B$2</f>
        <v>54.319999999999993</v>
      </c>
      <c r="V28">
        <f t="shared" si="4"/>
        <v>0</v>
      </c>
      <c r="W28">
        <f t="shared" si="5"/>
        <v>0</v>
      </c>
      <c r="AA28" s="8"/>
      <c r="AJ28" s="4"/>
    </row>
    <row r="29" spans="1:36" x14ac:dyDescent="0.25">
      <c r="A29">
        <v>28</v>
      </c>
      <c r="B29">
        <v>9</v>
      </c>
      <c r="C29" t="s">
        <v>57</v>
      </c>
      <c r="D29" s="16" t="s">
        <v>322</v>
      </c>
      <c r="E29" s="16" t="s">
        <v>310</v>
      </c>
      <c r="F29">
        <f>1.2*2.9</f>
        <v>3.48</v>
      </c>
      <c r="G29" t="s">
        <v>44</v>
      </c>
      <c r="H29">
        <v>0</v>
      </c>
      <c r="I29">
        <f>2*(1.2+2.9)</f>
        <v>8.1999999999999993</v>
      </c>
      <c r="L29">
        <f>Constants!$B$2</f>
        <v>2.8</v>
      </c>
      <c r="M29" t="str">
        <f t="shared" si="0"/>
        <v>N/A</v>
      </c>
      <c r="N29">
        <f>P29*Constants!$E$2</f>
        <v>0</v>
      </c>
      <c r="P29">
        <f t="shared" si="1"/>
        <v>0</v>
      </c>
      <c r="Q29">
        <f>P29*Constants!$B$3</f>
        <v>0</v>
      </c>
      <c r="R29">
        <f t="shared" si="2"/>
        <v>0</v>
      </c>
      <c r="S29">
        <f t="shared" si="3"/>
        <v>8.1999999999999993</v>
      </c>
      <c r="T29">
        <f>S29*Constants!$B$2</f>
        <v>22.959999999999997</v>
      </c>
      <c r="V29">
        <f t="shared" si="4"/>
        <v>0</v>
      </c>
      <c r="W29">
        <f t="shared" si="5"/>
        <v>0</v>
      </c>
      <c r="AA29" s="8"/>
      <c r="AJ29" s="4"/>
    </row>
    <row r="30" spans="1:36" x14ac:dyDescent="0.25">
      <c r="A30">
        <v>29</v>
      </c>
      <c r="B30">
        <v>9</v>
      </c>
      <c r="C30" t="s">
        <v>49</v>
      </c>
      <c r="D30" s="16" t="s">
        <v>311</v>
      </c>
      <c r="F30">
        <v>12.56</v>
      </c>
      <c r="G30">
        <v>270</v>
      </c>
      <c r="H30">
        <v>3</v>
      </c>
      <c r="I30">
        <f>2*1.2*(2.5+3.5)</f>
        <v>14.399999999999999</v>
      </c>
      <c r="L30">
        <f>Constants!$B$2</f>
        <v>2.8</v>
      </c>
      <c r="M30">
        <f t="shared" si="0"/>
        <v>270</v>
      </c>
      <c r="N30">
        <f>P30*Constants!$E$2</f>
        <v>5.0999999999999996</v>
      </c>
      <c r="P30">
        <f t="shared" si="1"/>
        <v>3</v>
      </c>
      <c r="Q30">
        <f>P30*Constants!$B$3</f>
        <v>12.599999999999998</v>
      </c>
      <c r="R30">
        <f t="shared" si="2"/>
        <v>7.4999999999999982</v>
      </c>
      <c r="S30">
        <f t="shared" si="3"/>
        <v>11.399999999999999</v>
      </c>
      <c r="T30">
        <f>S30*Constants!$B$2</f>
        <v>31.919999999999995</v>
      </c>
      <c r="V30">
        <f t="shared" si="4"/>
        <v>0</v>
      </c>
      <c r="W30">
        <f t="shared" si="5"/>
        <v>0</v>
      </c>
      <c r="AA30" s="8"/>
      <c r="AJ30" s="4"/>
    </row>
    <row r="31" spans="1:36" x14ac:dyDescent="0.25">
      <c r="A31">
        <v>30</v>
      </c>
      <c r="B31">
        <v>9</v>
      </c>
      <c r="C31" t="s">
        <v>49</v>
      </c>
      <c r="D31" s="16" t="s">
        <v>312</v>
      </c>
      <c r="F31">
        <v>25.06</v>
      </c>
      <c r="G31">
        <v>270</v>
      </c>
      <c r="H31">
        <v>3</v>
      </c>
      <c r="I31">
        <f>1.2*2*(2.5+6.5)</f>
        <v>21.599999999999998</v>
      </c>
      <c r="L31">
        <f>Constants!$B$2</f>
        <v>2.8</v>
      </c>
      <c r="M31">
        <f t="shared" si="0"/>
        <v>270</v>
      </c>
      <c r="N31">
        <f>P31*Constants!$E$2</f>
        <v>5.0999999999999996</v>
      </c>
      <c r="P31">
        <f t="shared" si="1"/>
        <v>3</v>
      </c>
      <c r="Q31">
        <f>P31*Constants!$B$3</f>
        <v>12.599999999999998</v>
      </c>
      <c r="R31">
        <f t="shared" si="2"/>
        <v>7.4999999999999982</v>
      </c>
      <c r="S31">
        <f t="shared" si="3"/>
        <v>18.599999999999998</v>
      </c>
      <c r="T31">
        <f>S31*Constants!$B$2</f>
        <v>52.079999999999991</v>
      </c>
      <c r="V31">
        <f t="shared" si="4"/>
        <v>0</v>
      </c>
      <c r="W31">
        <f t="shared" si="5"/>
        <v>0</v>
      </c>
      <c r="AA31" s="8"/>
      <c r="AJ31" s="4"/>
    </row>
    <row r="32" spans="1:36" x14ac:dyDescent="0.25">
      <c r="A32">
        <v>31</v>
      </c>
      <c r="B32">
        <v>9</v>
      </c>
      <c r="C32" t="s">
        <v>45</v>
      </c>
      <c r="D32" s="16" t="s">
        <v>324</v>
      </c>
      <c r="F32">
        <v>7.76</v>
      </c>
      <c r="G32" t="s">
        <v>44</v>
      </c>
      <c r="H32">
        <v>0</v>
      </c>
      <c r="I32">
        <f>2*1.2*(2+3)</f>
        <v>12</v>
      </c>
      <c r="L32">
        <f>Constants!$B$2</f>
        <v>2.8</v>
      </c>
      <c r="M32" t="str">
        <f t="shared" ref="M32" si="7">IF(N32&gt;0,G32,"N/A")</f>
        <v>N/A</v>
      </c>
      <c r="N32">
        <f>P32*Constants!$E$2</f>
        <v>0</v>
      </c>
      <c r="P32">
        <f t="shared" ref="P32" si="8">H32</f>
        <v>0</v>
      </c>
      <c r="Q32">
        <f>P32*Constants!$B$3</f>
        <v>0</v>
      </c>
      <c r="R32">
        <f t="shared" ref="R32" si="9">IF(Q32-N32&lt;=0, 0, Q32-N32)</f>
        <v>0</v>
      </c>
      <c r="S32">
        <f t="shared" ref="S32" si="10">I32-P32</f>
        <v>12</v>
      </c>
      <c r="T32">
        <f>S32*Constants!$B$2</f>
        <v>33.599999999999994</v>
      </c>
      <c r="V32">
        <f t="shared" ref="V32" si="11">IF(B32="E",1,0)</f>
        <v>0</v>
      </c>
      <c r="W32">
        <f t="shared" ref="W32" si="12">IF(B32=10,1,0)</f>
        <v>0</v>
      </c>
      <c r="AA32" s="8"/>
      <c r="AJ32" s="4"/>
    </row>
    <row r="33" spans="1:36" x14ac:dyDescent="0.25">
      <c r="A33">
        <v>32</v>
      </c>
      <c r="B33">
        <v>9</v>
      </c>
      <c r="C33" t="s">
        <v>49</v>
      </c>
      <c r="D33" s="16" t="s">
        <v>313</v>
      </c>
      <c r="E33" s="16"/>
      <c r="F33">
        <v>11.46</v>
      </c>
      <c r="G33">
        <v>270</v>
      </c>
      <c r="H33">
        <v>3</v>
      </c>
      <c r="I33">
        <f>2*1.2*(2.5+3.5)</f>
        <v>14.399999999999999</v>
      </c>
      <c r="L33">
        <f>Constants!$B$2</f>
        <v>2.8</v>
      </c>
      <c r="M33">
        <f t="shared" si="0"/>
        <v>270</v>
      </c>
      <c r="N33">
        <f>P33*Constants!$E$2</f>
        <v>5.0999999999999996</v>
      </c>
      <c r="P33">
        <f t="shared" si="1"/>
        <v>3</v>
      </c>
      <c r="Q33">
        <f>P33*Constants!$B$3</f>
        <v>12.599999999999998</v>
      </c>
      <c r="R33">
        <f t="shared" si="2"/>
        <v>7.4999999999999982</v>
      </c>
      <c r="S33">
        <f t="shared" si="3"/>
        <v>11.399999999999999</v>
      </c>
      <c r="T33">
        <f>S33*Constants!$B$2</f>
        <v>31.919999999999995</v>
      </c>
      <c r="V33">
        <f t="shared" si="4"/>
        <v>0</v>
      </c>
      <c r="W33">
        <f t="shared" si="5"/>
        <v>0</v>
      </c>
      <c r="AA33" s="8"/>
      <c r="AJ33" s="4"/>
    </row>
    <row r="34" spans="1:36" x14ac:dyDescent="0.25">
      <c r="A34">
        <v>33</v>
      </c>
      <c r="B34">
        <v>9</v>
      </c>
      <c r="C34" t="s">
        <v>67</v>
      </c>
      <c r="D34" s="16" t="s">
        <v>314</v>
      </c>
      <c r="F34">
        <v>26.16</v>
      </c>
      <c r="G34">
        <v>270</v>
      </c>
      <c r="H34">
        <v>2.9</v>
      </c>
      <c r="I34">
        <f>1.2*2*(2.5+6.5)</f>
        <v>21.599999999999998</v>
      </c>
      <c r="L34">
        <f>Constants!$B$2</f>
        <v>2.8</v>
      </c>
      <c r="M34">
        <f t="shared" si="0"/>
        <v>270</v>
      </c>
      <c r="N34">
        <f>P34*Constants!$E$2</f>
        <v>4.93</v>
      </c>
      <c r="P34">
        <f t="shared" si="1"/>
        <v>2.9</v>
      </c>
      <c r="Q34">
        <f>P34*Constants!$B$3</f>
        <v>12.179999999999998</v>
      </c>
      <c r="R34">
        <f t="shared" si="2"/>
        <v>7.2499999999999982</v>
      </c>
      <c r="S34">
        <f t="shared" si="3"/>
        <v>18.7</v>
      </c>
      <c r="T34">
        <f>S34*Constants!$B$2</f>
        <v>52.359999999999992</v>
      </c>
      <c r="V34">
        <f t="shared" si="4"/>
        <v>0</v>
      </c>
      <c r="W34">
        <f t="shared" si="5"/>
        <v>0</v>
      </c>
      <c r="AA34" s="8"/>
      <c r="AJ34" s="4"/>
    </row>
    <row r="35" spans="1:36" x14ac:dyDescent="0.25">
      <c r="A35">
        <v>34</v>
      </c>
      <c r="B35">
        <v>9</v>
      </c>
      <c r="C35" t="s">
        <v>49</v>
      </c>
      <c r="D35" s="16" t="s">
        <v>315</v>
      </c>
      <c r="F35">
        <v>24.58</v>
      </c>
      <c r="G35">
        <v>270</v>
      </c>
      <c r="H35">
        <v>3.6</v>
      </c>
      <c r="I35">
        <v>23</v>
      </c>
      <c r="L35">
        <f>Constants!$B$2</f>
        <v>2.8</v>
      </c>
      <c r="M35">
        <f t="shared" si="0"/>
        <v>270</v>
      </c>
      <c r="N35">
        <f>P35*Constants!$E$2</f>
        <v>6.12</v>
      </c>
      <c r="P35">
        <f t="shared" si="1"/>
        <v>3.6</v>
      </c>
      <c r="Q35">
        <f>P35*Constants!$B$3</f>
        <v>15.119999999999997</v>
      </c>
      <c r="R35">
        <f t="shared" si="2"/>
        <v>8.9999999999999964</v>
      </c>
      <c r="S35">
        <f t="shared" si="3"/>
        <v>19.399999999999999</v>
      </c>
      <c r="T35">
        <f>S35*Constants!$B$2</f>
        <v>54.319999999999993</v>
      </c>
      <c r="V35">
        <f t="shared" si="4"/>
        <v>0</v>
      </c>
      <c r="W35">
        <f t="shared" si="5"/>
        <v>0</v>
      </c>
      <c r="AA35" s="8"/>
      <c r="AJ35" s="4"/>
    </row>
    <row r="36" spans="1:36" x14ac:dyDescent="0.25">
      <c r="A36">
        <v>35</v>
      </c>
      <c r="B36">
        <v>9</v>
      </c>
      <c r="C36" t="s">
        <v>57</v>
      </c>
      <c r="D36" s="16" t="s">
        <v>316</v>
      </c>
      <c r="E36" s="16" t="s">
        <v>315</v>
      </c>
      <c r="F36">
        <f>1.2*2.9</f>
        <v>3.48</v>
      </c>
      <c r="G36" t="s">
        <v>44</v>
      </c>
      <c r="H36">
        <v>0</v>
      </c>
      <c r="I36">
        <f>2*(1.2+2.9)</f>
        <v>8.1999999999999993</v>
      </c>
      <c r="L36">
        <f>Constants!$B$2</f>
        <v>2.8</v>
      </c>
      <c r="M36" t="str">
        <f t="shared" si="0"/>
        <v>N/A</v>
      </c>
      <c r="N36">
        <f>P36*Constants!$E$2</f>
        <v>0</v>
      </c>
      <c r="P36">
        <f t="shared" si="1"/>
        <v>0</v>
      </c>
      <c r="Q36">
        <f>P36*Constants!$B$3</f>
        <v>0</v>
      </c>
      <c r="R36">
        <f t="shared" si="2"/>
        <v>0</v>
      </c>
      <c r="S36">
        <f t="shared" si="3"/>
        <v>8.1999999999999993</v>
      </c>
      <c r="T36">
        <f>S36*Constants!$B$2</f>
        <v>22.959999999999997</v>
      </c>
      <c r="V36">
        <f t="shared" si="4"/>
        <v>0</v>
      </c>
      <c r="W36">
        <f t="shared" si="5"/>
        <v>0</v>
      </c>
      <c r="AA36" s="8"/>
      <c r="AJ36" s="4"/>
    </row>
    <row r="37" spans="1:36" x14ac:dyDescent="0.25">
      <c r="A37">
        <v>36</v>
      </c>
      <c r="B37">
        <v>9</v>
      </c>
      <c r="C37" t="s">
        <v>49</v>
      </c>
      <c r="D37" s="16" t="s">
        <v>317</v>
      </c>
      <c r="F37">
        <v>24.58</v>
      </c>
      <c r="G37">
        <v>270</v>
      </c>
      <c r="H37">
        <v>3.6</v>
      </c>
      <c r="I37">
        <v>23</v>
      </c>
      <c r="L37">
        <f>Constants!$B$2</f>
        <v>2.8</v>
      </c>
      <c r="M37">
        <f t="shared" si="0"/>
        <v>270</v>
      </c>
      <c r="N37">
        <f>P37*Constants!$E$2</f>
        <v>6.12</v>
      </c>
      <c r="P37">
        <f t="shared" si="1"/>
        <v>3.6</v>
      </c>
      <c r="Q37">
        <f>P37*Constants!$B$3</f>
        <v>15.119999999999997</v>
      </c>
      <c r="R37">
        <f t="shared" si="2"/>
        <v>8.9999999999999964</v>
      </c>
      <c r="S37">
        <f t="shared" si="3"/>
        <v>19.399999999999999</v>
      </c>
      <c r="T37">
        <f>S37*Constants!$B$2</f>
        <v>54.319999999999993</v>
      </c>
      <c r="V37">
        <f t="shared" si="4"/>
        <v>0</v>
      </c>
      <c r="W37">
        <f t="shared" si="5"/>
        <v>0</v>
      </c>
      <c r="AA37" s="8"/>
      <c r="AJ37" s="4"/>
    </row>
    <row r="38" spans="1:36" x14ac:dyDescent="0.25">
      <c r="A38">
        <v>37</v>
      </c>
      <c r="B38">
        <v>9</v>
      </c>
      <c r="C38" t="s">
        <v>57</v>
      </c>
      <c r="D38" s="16" t="s">
        <v>318</v>
      </c>
      <c r="E38" s="16" t="s">
        <v>317</v>
      </c>
      <c r="F38">
        <f>1.2*2.9</f>
        <v>3.48</v>
      </c>
      <c r="G38" t="s">
        <v>44</v>
      </c>
      <c r="H38">
        <v>0</v>
      </c>
      <c r="I38">
        <f>2*(1.2+2.9)</f>
        <v>8.1999999999999993</v>
      </c>
      <c r="L38">
        <f>Constants!$B$2</f>
        <v>2.8</v>
      </c>
      <c r="M38" t="str">
        <f t="shared" si="0"/>
        <v>N/A</v>
      </c>
      <c r="N38">
        <f>P38*Constants!$E$2</f>
        <v>0</v>
      </c>
      <c r="P38">
        <f t="shared" si="1"/>
        <v>0</v>
      </c>
      <c r="Q38">
        <f>P38*Constants!$B$3</f>
        <v>0</v>
      </c>
      <c r="R38">
        <f t="shared" si="2"/>
        <v>0</v>
      </c>
      <c r="S38">
        <f t="shared" si="3"/>
        <v>8.1999999999999993</v>
      </c>
      <c r="T38">
        <f>S38*Constants!$B$2</f>
        <v>22.959999999999997</v>
      </c>
      <c r="V38">
        <f t="shared" si="4"/>
        <v>0</v>
      </c>
      <c r="W38">
        <f t="shared" si="5"/>
        <v>0</v>
      </c>
      <c r="AA38" s="8"/>
      <c r="AJ38" s="4"/>
    </row>
    <row r="39" spans="1:36" x14ac:dyDescent="0.25">
      <c r="A39">
        <v>38</v>
      </c>
      <c r="B39">
        <v>9</v>
      </c>
      <c r="C39" t="s">
        <v>49</v>
      </c>
      <c r="D39" s="16" t="s">
        <v>319</v>
      </c>
      <c r="F39">
        <v>24.76</v>
      </c>
      <c r="G39">
        <v>270</v>
      </c>
      <c r="H39">
        <v>1.2</v>
      </c>
      <c r="I39">
        <v>23</v>
      </c>
      <c r="L39">
        <f>Constants!$B$2</f>
        <v>2.8</v>
      </c>
      <c r="M39">
        <f t="shared" si="0"/>
        <v>270</v>
      </c>
      <c r="N39">
        <f>P39*Constants!$E$2</f>
        <v>2.04</v>
      </c>
      <c r="P39">
        <f t="shared" si="1"/>
        <v>1.2</v>
      </c>
      <c r="Q39">
        <f>P39*Constants!$B$3</f>
        <v>5.0399999999999991</v>
      </c>
      <c r="R39">
        <f t="shared" si="2"/>
        <v>2.9999999999999991</v>
      </c>
      <c r="S39">
        <f t="shared" si="3"/>
        <v>21.8</v>
      </c>
      <c r="T39">
        <f>S39*Constants!$B$2</f>
        <v>61.04</v>
      </c>
      <c r="V39">
        <f t="shared" si="4"/>
        <v>0</v>
      </c>
      <c r="W39">
        <f t="shared" si="5"/>
        <v>0</v>
      </c>
      <c r="AA39" s="8"/>
      <c r="AJ39" s="4"/>
    </row>
    <row r="40" spans="1:36" x14ac:dyDescent="0.25">
      <c r="A40">
        <v>39</v>
      </c>
      <c r="B40">
        <v>9</v>
      </c>
      <c r="C40" t="s">
        <v>59</v>
      </c>
      <c r="D40" s="16" t="s">
        <v>320</v>
      </c>
      <c r="F40">
        <v>13.25</v>
      </c>
      <c r="G40" t="s">
        <v>44</v>
      </c>
      <c r="H40">
        <v>0</v>
      </c>
      <c r="I40">
        <f>2*(4.8+3.2)</f>
        <v>16</v>
      </c>
      <c r="L40">
        <f>Constants!$B$2</f>
        <v>2.8</v>
      </c>
      <c r="M40" t="str">
        <f t="shared" si="0"/>
        <v>N/A</v>
      </c>
      <c r="N40">
        <f>P40*Constants!$E$2</f>
        <v>0</v>
      </c>
      <c r="P40">
        <f t="shared" si="1"/>
        <v>0</v>
      </c>
      <c r="Q40">
        <f>P40*Constants!$B$3</f>
        <v>0</v>
      </c>
      <c r="R40">
        <f t="shared" si="2"/>
        <v>0</v>
      </c>
      <c r="S40">
        <f t="shared" si="3"/>
        <v>16</v>
      </c>
      <c r="T40">
        <f>S40*Constants!$B$2</f>
        <v>44.8</v>
      </c>
      <c r="V40">
        <f t="shared" si="4"/>
        <v>0</v>
      </c>
      <c r="W40">
        <f t="shared" si="5"/>
        <v>0</v>
      </c>
      <c r="AA40" s="8"/>
      <c r="AJ40" s="4"/>
    </row>
    <row r="41" spans="1:36" x14ac:dyDescent="0.25">
      <c r="A41">
        <v>40</v>
      </c>
      <c r="B41">
        <v>9</v>
      </c>
      <c r="C41" t="s">
        <v>62</v>
      </c>
      <c r="D41" s="16" t="s">
        <v>321</v>
      </c>
      <c r="F41">
        <v>20.76</v>
      </c>
      <c r="G41">
        <v>90</v>
      </c>
      <c r="H41">
        <v>3.2</v>
      </c>
      <c r="I41">
        <f>2*(5.3+3.2)</f>
        <v>17</v>
      </c>
      <c r="L41">
        <f>Constants!$B$2</f>
        <v>2.8</v>
      </c>
      <c r="M41">
        <f t="shared" si="0"/>
        <v>90</v>
      </c>
      <c r="N41">
        <f>P41*Constants!$E$2</f>
        <v>5.44</v>
      </c>
      <c r="P41">
        <f t="shared" si="1"/>
        <v>3.2</v>
      </c>
      <c r="Q41">
        <f>P41*Constants!$B$3</f>
        <v>13.439999999999998</v>
      </c>
      <c r="R41">
        <f t="shared" si="2"/>
        <v>7.9999999999999973</v>
      </c>
      <c r="S41">
        <f>I41-P41</f>
        <v>13.8</v>
      </c>
      <c r="T41">
        <f>S41*Constants!$B$2</f>
        <v>38.64</v>
      </c>
      <c r="V41">
        <f t="shared" si="4"/>
        <v>0</v>
      </c>
      <c r="W41">
        <f t="shared" si="5"/>
        <v>0</v>
      </c>
      <c r="AA41" s="8"/>
      <c r="AJ41" s="4"/>
    </row>
    <row r="42" spans="1:36" x14ac:dyDescent="0.25">
      <c r="D42" s="15"/>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4"/>
    </row>
    <row r="453" spans="4:4" x14ac:dyDescent="0.25">
      <c r="D453" s="14"/>
    </row>
    <row r="454" spans="4:4" x14ac:dyDescent="0.25">
      <c r="D454" s="13"/>
    </row>
    <row r="455" spans="4:4" x14ac:dyDescent="0.25">
      <c r="D455" s="13"/>
    </row>
    <row r="456" spans="4:4" x14ac:dyDescent="0.25">
      <c r="D456" s="13"/>
    </row>
    <row r="457" spans="4:4" x14ac:dyDescent="0.25">
      <c r="D457" s="13"/>
    </row>
    <row r="458" spans="4:4" x14ac:dyDescent="0.25">
      <c r="D458" s="13"/>
    </row>
    <row r="459" spans="4:4" x14ac:dyDescent="0.25">
      <c r="D459" s="13"/>
    </row>
    <row r="460" spans="4:4" x14ac:dyDescent="0.25">
      <c r="D460" s="13"/>
    </row>
    <row r="461" spans="4:4" x14ac:dyDescent="0.25">
      <c r="D461" s="13"/>
    </row>
  </sheetData>
  <phoneticPr fontId="5" type="noConversion"/>
  <pageMargins left="0.7" right="0.7" top="0.78740157499999996" bottom="0.78740157499999996"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43"/>
  <sheetViews>
    <sheetView zoomScaleNormal="100" workbookViewId="0">
      <pane xSplit="4" ySplit="1" topLeftCell="E2" activePane="bottomRight" state="frozen"/>
      <selection pane="topRight" activeCell="F1" sqref="F1"/>
      <selection pane="bottomLeft" activeCell="A2" sqref="A2"/>
      <selection pane="bottomRight" activeCell="A13" sqref="A13:XFD13"/>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54</v>
      </c>
      <c r="D2" s="16" t="s">
        <v>432</v>
      </c>
      <c r="F2">
        <v>44.94</v>
      </c>
      <c r="G2">
        <v>270</v>
      </c>
      <c r="H2">
        <v>8.4</v>
      </c>
      <c r="I2">
        <v>27.76</v>
      </c>
      <c r="L2">
        <f>Constants!$B$2</f>
        <v>2.8</v>
      </c>
      <c r="M2">
        <f t="shared" ref="M2:M17" si="0">IF(N2&gt;0,G2,"N/A")</f>
        <v>270</v>
      </c>
      <c r="N2">
        <f>P2*Constants!$E$2</f>
        <v>14.28</v>
      </c>
      <c r="P2">
        <f>H2</f>
        <v>8.4</v>
      </c>
      <c r="Q2">
        <f>P2*Constants!$B$3</f>
        <v>35.279999999999994</v>
      </c>
      <c r="R2">
        <f>IF(Q2-N2&lt;=0, 0, Q2-N2)</f>
        <v>20.999999999999993</v>
      </c>
      <c r="S2">
        <f>I2-P2</f>
        <v>19.36</v>
      </c>
      <c r="T2">
        <f>S2*Constants!$B$2</f>
        <v>54.207999999999998</v>
      </c>
      <c r="V2">
        <f>IF(B2="E",1,0)</f>
        <v>0</v>
      </c>
      <c r="W2">
        <f>IF(B2=10,1,0)</f>
        <v>0</v>
      </c>
      <c r="AA2" s="8"/>
      <c r="AJ2" s="4"/>
    </row>
    <row r="3" spans="1:40" x14ac:dyDescent="0.25">
      <c r="A3">
        <v>2</v>
      </c>
      <c r="B3">
        <v>9</v>
      </c>
      <c r="C3" t="s">
        <v>55</v>
      </c>
      <c r="D3" s="16" t="s">
        <v>433</v>
      </c>
      <c r="F3">
        <v>19.04</v>
      </c>
      <c r="G3">
        <v>270</v>
      </c>
      <c r="H3">
        <v>3.6</v>
      </c>
      <c r="I3">
        <v>23.86</v>
      </c>
      <c r="L3">
        <f>Constants!$B$2</f>
        <v>2.8</v>
      </c>
      <c r="M3">
        <f t="shared" si="0"/>
        <v>270</v>
      </c>
      <c r="N3">
        <f>P3*Constants!$E$2</f>
        <v>6.12</v>
      </c>
      <c r="P3">
        <f t="shared" ref="P3:P17" si="1">H3</f>
        <v>3.6</v>
      </c>
      <c r="Q3">
        <f>P3*Constants!$B$3</f>
        <v>15.119999999999997</v>
      </c>
      <c r="R3">
        <f t="shared" ref="R3:R17" si="2">IF(Q3-N3&lt;=0, 0, Q3-N3)</f>
        <v>8.9999999999999964</v>
      </c>
      <c r="S3">
        <f t="shared" ref="S3:S17" si="3">I3-P3</f>
        <v>20.259999999999998</v>
      </c>
      <c r="T3">
        <f>S3*Constants!$B$2</f>
        <v>56.727999999999987</v>
      </c>
      <c r="V3">
        <f t="shared" ref="V3:V17" si="4">IF(B3="E",1,0)</f>
        <v>0</v>
      </c>
      <c r="W3">
        <f t="shared" ref="W3:W17" si="5">IF(B3=10,1,0)</f>
        <v>0</v>
      </c>
      <c r="AA3" s="8"/>
      <c r="AJ3" s="4"/>
    </row>
    <row r="4" spans="1:40" x14ac:dyDescent="0.25">
      <c r="A4">
        <v>3</v>
      </c>
      <c r="B4">
        <v>9</v>
      </c>
      <c r="C4" t="s">
        <v>54</v>
      </c>
      <c r="D4" s="16" t="s">
        <v>434</v>
      </c>
      <c r="F4">
        <v>19.27</v>
      </c>
      <c r="G4">
        <v>270</v>
      </c>
      <c r="H4">
        <v>3.6</v>
      </c>
      <c r="I4">
        <v>18.46</v>
      </c>
      <c r="L4">
        <f>Constants!$B$2</f>
        <v>2.8</v>
      </c>
      <c r="M4">
        <f t="shared" si="0"/>
        <v>270</v>
      </c>
      <c r="N4">
        <f>P4*Constants!$E$2</f>
        <v>6.12</v>
      </c>
      <c r="P4">
        <f t="shared" si="1"/>
        <v>3.6</v>
      </c>
      <c r="Q4">
        <f>P4*Constants!$B$3</f>
        <v>15.119999999999997</v>
      </c>
      <c r="R4">
        <f t="shared" si="2"/>
        <v>8.9999999999999964</v>
      </c>
      <c r="S4">
        <f t="shared" si="3"/>
        <v>14.860000000000001</v>
      </c>
      <c r="T4">
        <f>S4*Constants!$B$2</f>
        <v>41.608000000000004</v>
      </c>
      <c r="V4">
        <f t="shared" si="4"/>
        <v>0</v>
      </c>
      <c r="W4">
        <f t="shared" si="5"/>
        <v>0</v>
      </c>
      <c r="AA4" s="8"/>
      <c r="AJ4" s="4"/>
    </row>
    <row r="5" spans="1:40" x14ac:dyDescent="0.25">
      <c r="A5">
        <v>4</v>
      </c>
      <c r="B5">
        <v>9</v>
      </c>
      <c r="C5" t="s">
        <v>50</v>
      </c>
      <c r="D5" s="16" t="s">
        <v>435</v>
      </c>
      <c r="F5">
        <v>12.25</v>
      </c>
      <c r="G5">
        <v>270</v>
      </c>
      <c r="H5">
        <v>2.4</v>
      </c>
      <c r="I5">
        <v>15.76</v>
      </c>
      <c r="L5">
        <f>Constants!$B$2</f>
        <v>2.8</v>
      </c>
      <c r="M5">
        <f t="shared" si="0"/>
        <v>270</v>
      </c>
      <c r="N5">
        <f>P5*Constants!$E$2</f>
        <v>4.08</v>
      </c>
      <c r="P5">
        <f t="shared" si="1"/>
        <v>2.4</v>
      </c>
      <c r="Q5">
        <f>P5*Constants!$B$3</f>
        <v>10.079999999999998</v>
      </c>
      <c r="R5">
        <f t="shared" si="2"/>
        <v>5.9999999999999982</v>
      </c>
      <c r="S5">
        <f t="shared" si="3"/>
        <v>13.36</v>
      </c>
      <c r="T5">
        <f>S5*Constants!$B$2</f>
        <v>37.407999999999994</v>
      </c>
      <c r="V5">
        <f t="shared" si="4"/>
        <v>0</v>
      </c>
      <c r="W5">
        <f t="shared" si="5"/>
        <v>0</v>
      </c>
      <c r="AA5" s="8"/>
      <c r="AJ5" s="4"/>
    </row>
    <row r="6" spans="1:40" x14ac:dyDescent="0.25">
      <c r="A6">
        <v>5</v>
      </c>
      <c r="B6">
        <v>9</v>
      </c>
      <c r="C6" t="s">
        <v>55</v>
      </c>
      <c r="D6" s="16" t="s">
        <v>436</v>
      </c>
      <c r="F6">
        <v>12.03</v>
      </c>
      <c r="G6">
        <v>270</v>
      </c>
      <c r="H6">
        <v>2.4</v>
      </c>
      <c r="I6">
        <v>15.76</v>
      </c>
      <c r="L6">
        <f>Constants!$B$2</f>
        <v>2.8</v>
      </c>
      <c r="M6">
        <f t="shared" si="0"/>
        <v>270</v>
      </c>
      <c r="N6">
        <f>P6*Constants!$E$2</f>
        <v>4.08</v>
      </c>
      <c r="P6">
        <f t="shared" si="1"/>
        <v>2.4</v>
      </c>
      <c r="Q6">
        <f>P6*Constants!$B$3</f>
        <v>10.079999999999998</v>
      </c>
      <c r="R6">
        <f t="shared" si="2"/>
        <v>5.9999999999999982</v>
      </c>
      <c r="S6">
        <f t="shared" si="3"/>
        <v>13.36</v>
      </c>
      <c r="T6">
        <f>S6*Constants!$B$2</f>
        <v>37.407999999999994</v>
      </c>
      <c r="V6">
        <f t="shared" si="4"/>
        <v>0</v>
      </c>
      <c r="W6">
        <f t="shared" si="5"/>
        <v>0</v>
      </c>
      <c r="AA6" s="8"/>
      <c r="AJ6" s="4"/>
    </row>
    <row r="7" spans="1:40" x14ac:dyDescent="0.25">
      <c r="A7">
        <v>6</v>
      </c>
      <c r="B7">
        <v>9</v>
      </c>
      <c r="C7" t="s">
        <v>57</v>
      </c>
      <c r="D7" s="16" t="s">
        <v>437</v>
      </c>
      <c r="F7">
        <v>18.14</v>
      </c>
      <c r="G7">
        <v>270</v>
      </c>
      <c r="H7">
        <v>3.6</v>
      </c>
      <c r="I7">
        <v>18.46</v>
      </c>
      <c r="L7">
        <f>Constants!$B$2</f>
        <v>2.8</v>
      </c>
      <c r="M7">
        <f t="shared" si="0"/>
        <v>270</v>
      </c>
      <c r="N7">
        <f>P7*Constants!$E$2</f>
        <v>6.12</v>
      </c>
      <c r="P7">
        <f t="shared" si="1"/>
        <v>3.6</v>
      </c>
      <c r="Q7">
        <f>P7*Constants!$B$3</f>
        <v>15.119999999999997</v>
      </c>
      <c r="R7">
        <f t="shared" si="2"/>
        <v>8.9999999999999964</v>
      </c>
      <c r="S7">
        <f t="shared" si="3"/>
        <v>14.860000000000001</v>
      </c>
      <c r="T7">
        <f>S7*Constants!$B$2</f>
        <v>41.608000000000004</v>
      </c>
      <c r="V7">
        <f t="shared" si="4"/>
        <v>0</v>
      </c>
      <c r="W7">
        <f t="shared" si="5"/>
        <v>0</v>
      </c>
      <c r="AA7" s="8"/>
      <c r="AJ7" s="4"/>
    </row>
    <row r="8" spans="1:40" x14ac:dyDescent="0.25">
      <c r="A8">
        <v>7</v>
      </c>
      <c r="B8">
        <v>9</v>
      </c>
      <c r="C8" t="s">
        <v>49</v>
      </c>
      <c r="D8" s="16" t="s">
        <v>438</v>
      </c>
      <c r="E8" s="16"/>
      <c r="F8">
        <v>21.82</v>
      </c>
      <c r="G8">
        <v>90</v>
      </c>
      <c r="H8">
        <v>3.6</v>
      </c>
      <c r="I8">
        <v>22.25</v>
      </c>
      <c r="L8">
        <f>Constants!$B$2</f>
        <v>2.8</v>
      </c>
      <c r="M8">
        <f t="shared" si="0"/>
        <v>90</v>
      </c>
      <c r="N8">
        <f>P8*Constants!$E$2</f>
        <v>6.12</v>
      </c>
      <c r="P8">
        <f t="shared" si="1"/>
        <v>3.6</v>
      </c>
      <c r="Q8">
        <f>P8*Constants!$B$3</f>
        <v>15.119999999999997</v>
      </c>
      <c r="R8">
        <f t="shared" si="2"/>
        <v>8.9999999999999964</v>
      </c>
      <c r="S8">
        <f t="shared" si="3"/>
        <v>18.649999999999999</v>
      </c>
      <c r="T8">
        <f>S8*Constants!$B$2</f>
        <v>52.219999999999992</v>
      </c>
      <c r="V8">
        <f t="shared" si="4"/>
        <v>0</v>
      </c>
      <c r="W8">
        <f t="shared" si="5"/>
        <v>0</v>
      </c>
      <c r="AA8" s="8"/>
      <c r="AJ8" s="4"/>
    </row>
    <row r="9" spans="1:40" x14ac:dyDescent="0.25">
      <c r="A9">
        <v>8</v>
      </c>
      <c r="B9">
        <v>9</v>
      </c>
      <c r="C9" t="s">
        <v>57</v>
      </c>
      <c r="D9" s="16" t="s">
        <v>447</v>
      </c>
      <c r="E9" s="16" t="s">
        <v>438</v>
      </c>
      <c r="F9">
        <v>3.71</v>
      </c>
      <c r="G9" t="s">
        <v>44</v>
      </c>
      <c r="H9">
        <v>0</v>
      </c>
      <c r="I9">
        <v>8.5500000000000007</v>
      </c>
      <c r="L9">
        <f>Constants!$B$2</f>
        <v>2.8</v>
      </c>
      <c r="M9" t="str">
        <f t="shared" ref="M9:M10" si="6">IF(N9&gt;0,G9,"N/A")</f>
        <v>N/A</v>
      </c>
      <c r="N9">
        <f>P9*Constants!$E$2</f>
        <v>0</v>
      </c>
      <c r="P9">
        <f t="shared" ref="P9:P10" si="7">H9</f>
        <v>0</v>
      </c>
      <c r="Q9">
        <f>P9*Constants!$B$3</f>
        <v>0</v>
      </c>
      <c r="R9">
        <f t="shared" ref="R9:R10" si="8">IF(Q9-N9&lt;=0, 0, Q9-N9)</f>
        <v>0</v>
      </c>
      <c r="S9">
        <f t="shared" ref="S9:S10" si="9">I9-P9</f>
        <v>8.5500000000000007</v>
      </c>
      <c r="T9">
        <f>S9*Constants!$B$2</f>
        <v>23.94</v>
      </c>
      <c r="V9">
        <f t="shared" ref="V9:V10" si="10">IF(B9="E",1,0)</f>
        <v>0</v>
      </c>
      <c r="W9">
        <f t="shared" ref="W9:W10" si="11">IF(B9=10,1,0)</f>
        <v>0</v>
      </c>
      <c r="AA9" s="8"/>
      <c r="AJ9" s="4"/>
    </row>
    <row r="10" spans="1:40" x14ac:dyDescent="0.25">
      <c r="A10">
        <v>9</v>
      </c>
      <c r="B10">
        <v>9</v>
      </c>
      <c r="C10" t="s">
        <v>49</v>
      </c>
      <c r="D10" s="16" t="s">
        <v>439</v>
      </c>
      <c r="E10" s="16"/>
      <c r="F10">
        <v>21.82</v>
      </c>
      <c r="G10">
        <v>90</v>
      </c>
      <c r="H10">
        <v>3.6</v>
      </c>
      <c r="I10">
        <v>22.25</v>
      </c>
      <c r="L10">
        <f>Constants!$B$2</f>
        <v>2.8</v>
      </c>
      <c r="M10">
        <f t="shared" si="6"/>
        <v>90</v>
      </c>
      <c r="N10">
        <f>P10*Constants!$E$2</f>
        <v>6.12</v>
      </c>
      <c r="P10">
        <f t="shared" si="7"/>
        <v>3.6</v>
      </c>
      <c r="Q10">
        <f>P10*Constants!$B$3</f>
        <v>15.119999999999997</v>
      </c>
      <c r="R10">
        <f t="shared" si="8"/>
        <v>8.9999999999999964</v>
      </c>
      <c r="S10">
        <f t="shared" si="9"/>
        <v>18.649999999999999</v>
      </c>
      <c r="T10">
        <f>S10*Constants!$B$2</f>
        <v>52.219999999999992</v>
      </c>
      <c r="V10">
        <f t="shared" si="10"/>
        <v>0</v>
      </c>
      <c r="W10">
        <f t="shared" si="11"/>
        <v>0</v>
      </c>
      <c r="AA10" s="8"/>
      <c r="AJ10" s="4"/>
    </row>
    <row r="11" spans="1:40" x14ac:dyDescent="0.25">
      <c r="A11">
        <v>10</v>
      </c>
      <c r="B11">
        <v>9</v>
      </c>
      <c r="C11" t="s">
        <v>57</v>
      </c>
      <c r="D11" s="16" t="s">
        <v>448</v>
      </c>
      <c r="E11" s="16" t="s">
        <v>439</v>
      </c>
      <c r="F11">
        <v>3.71</v>
      </c>
      <c r="G11" t="s">
        <v>44</v>
      </c>
      <c r="H11">
        <v>0</v>
      </c>
      <c r="I11">
        <v>8.5500000000000007</v>
      </c>
      <c r="L11">
        <f>Constants!$B$2</f>
        <v>2.8</v>
      </c>
      <c r="M11" t="str">
        <f t="shared" ref="M11" si="12">IF(N11&gt;0,G11,"N/A")</f>
        <v>N/A</v>
      </c>
      <c r="N11">
        <f>P11*Constants!$E$2</f>
        <v>0</v>
      </c>
      <c r="P11">
        <f t="shared" ref="P11" si="13">H11</f>
        <v>0</v>
      </c>
      <c r="Q11">
        <f>P11*Constants!$B$3</f>
        <v>0</v>
      </c>
      <c r="R11">
        <f t="shared" ref="R11" si="14">IF(Q11-N11&lt;=0, 0, Q11-N11)</f>
        <v>0</v>
      </c>
      <c r="S11">
        <f t="shared" ref="S11" si="15">I11-P11</f>
        <v>8.5500000000000007</v>
      </c>
      <c r="T11">
        <f>S11*Constants!$B$2</f>
        <v>23.94</v>
      </c>
      <c r="V11">
        <f t="shared" ref="V11" si="16">IF(B11="E",1,0)</f>
        <v>0</v>
      </c>
      <c r="W11">
        <f t="shared" ref="W11" si="17">IF(B11=10,1,0)</f>
        <v>0</v>
      </c>
      <c r="AA11" s="8"/>
      <c r="AJ11" s="4"/>
    </row>
    <row r="12" spans="1:40" x14ac:dyDescent="0.25">
      <c r="A12">
        <v>11</v>
      </c>
      <c r="B12">
        <v>9</v>
      </c>
      <c r="C12" t="s">
        <v>49</v>
      </c>
      <c r="D12" s="16" t="s">
        <v>440</v>
      </c>
      <c r="F12">
        <v>21.82</v>
      </c>
      <c r="G12">
        <v>90</v>
      </c>
      <c r="H12">
        <v>3.6</v>
      </c>
      <c r="I12">
        <v>22.25</v>
      </c>
      <c r="L12">
        <f>Constants!$B$2</f>
        <v>2.8</v>
      </c>
      <c r="M12">
        <f t="shared" si="0"/>
        <v>90</v>
      </c>
      <c r="N12">
        <f>P12*Constants!$E$2</f>
        <v>6.12</v>
      </c>
      <c r="P12">
        <f t="shared" si="1"/>
        <v>3.6</v>
      </c>
      <c r="Q12">
        <f>P12*Constants!$B$3</f>
        <v>15.119999999999997</v>
      </c>
      <c r="R12">
        <f t="shared" si="2"/>
        <v>8.9999999999999964</v>
      </c>
      <c r="S12">
        <f t="shared" si="3"/>
        <v>18.649999999999999</v>
      </c>
      <c r="T12">
        <f>S12*Constants!$B$2</f>
        <v>52.219999999999992</v>
      </c>
      <c r="V12">
        <f t="shared" si="4"/>
        <v>0</v>
      </c>
      <c r="W12">
        <f t="shared" si="5"/>
        <v>0</v>
      </c>
      <c r="AA12" s="8"/>
      <c r="AJ12" s="4"/>
    </row>
    <row r="13" spans="1:40" x14ac:dyDescent="0.25">
      <c r="A13">
        <v>12</v>
      </c>
      <c r="B13">
        <v>9</v>
      </c>
      <c r="C13" t="s">
        <v>57</v>
      </c>
      <c r="D13" s="16" t="s">
        <v>449</v>
      </c>
      <c r="E13" s="16" t="s">
        <v>440</v>
      </c>
      <c r="F13">
        <v>3.71</v>
      </c>
      <c r="G13" t="s">
        <v>44</v>
      </c>
      <c r="H13">
        <v>0</v>
      </c>
      <c r="I13">
        <v>8.5500000000000007</v>
      </c>
      <c r="L13">
        <f>Constants!$B$2</f>
        <v>2.8</v>
      </c>
      <c r="M13" t="str">
        <f t="shared" si="0"/>
        <v>N/A</v>
      </c>
      <c r="N13">
        <f>P13*Constants!$E$2</f>
        <v>0</v>
      </c>
      <c r="P13">
        <f t="shared" si="1"/>
        <v>0</v>
      </c>
      <c r="Q13">
        <f>P13*Constants!$B$3</f>
        <v>0</v>
      </c>
      <c r="R13">
        <f t="shared" si="2"/>
        <v>0</v>
      </c>
      <c r="S13">
        <f t="shared" si="3"/>
        <v>8.5500000000000007</v>
      </c>
      <c r="T13">
        <f>S13*Constants!$B$2</f>
        <v>23.94</v>
      </c>
      <c r="V13">
        <f t="shared" si="4"/>
        <v>0</v>
      </c>
      <c r="W13">
        <f t="shared" si="5"/>
        <v>0</v>
      </c>
      <c r="AA13" s="8"/>
      <c r="AJ13" s="4"/>
    </row>
    <row r="14" spans="1:40" x14ac:dyDescent="0.25">
      <c r="A14">
        <v>13</v>
      </c>
      <c r="B14">
        <v>9</v>
      </c>
      <c r="C14" t="s">
        <v>49</v>
      </c>
      <c r="D14" s="16" t="s">
        <v>443</v>
      </c>
      <c r="F14">
        <v>21.67</v>
      </c>
      <c r="G14">
        <v>90</v>
      </c>
      <c r="H14">
        <v>3.6</v>
      </c>
      <c r="I14">
        <v>22.55</v>
      </c>
      <c r="L14">
        <f>Constants!$B$2</f>
        <v>2.8</v>
      </c>
      <c r="M14">
        <f t="shared" si="0"/>
        <v>90</v>
      </c>
      <c r="N14">
        <f>P14*Constants!$E$2</f>
        <v>6.12</v>
      </c>
      <c r="P14">
        <f t="shared" si="1"/>
        <v>3.6</v>
      </c>
      <c r="Q14">
        <f>P14*Constants!$B$3</f>
        <v>15.119999999999997</v>
      </c>
      <c r="R14">
        <f t="shared" si="2"/>
        <v>8.9999999999999964</v>
      </c>
      <c r="S14">
        <f t="shared" si="3"/>
        <v>18.95</v>
      </c>
      <c r="T14">
        <f>S14*Constants!$B$2</f>
        <v>53.059999999999995</v>
      </c>
      <c r="V14">
        <f t="shared" si="4"/>
        <v>0</v>
      </c>
      <c r="W14">
        <f t="shared" si="5"/>
        <v>0</v>
      </c>
      <c r="AA14" s="8"/>
      <c r="AJ14" s="4"/>
    </row>
    <row r="15" spans="1:40" x14ac:dyDescent="0.25">
      <c r="A15">
        <v>14</v>
      </c>
      <c r="B15">
        <v>9</v>
      </c>
      <c r="C15" t="s">
        <v>57</v>
      </c>
      <c r="D15" s="16" t="s">
        <v>450</v>
      </c>
      <c r="E15" s="16" t="s">
        <v>443</v>
      </c>
      <c r="F15">
        <v>3.71</v>
      </c>
      <c r="G15" t="s">
        <v>44</v>
      </c>
      <c r="H15">
        <v>0</v>
      </c>
      <c r="I15">
        <v>8.5500000000000007</v>
      </c>
      <c r="L15">
        <f>Constants!$B$2</f>
        <v>2.8</v>
      </c>
      <c r="M15" t="str">
        <f t="shared" ref="M15" si="18">IF(N15&gt;0,G15,"N/A")</f>
        <v>N/A</v>
      </c>
      <c r="N15">
        <f>P15*Constants!$E$2</f>
        <v>0</v>
      </c>
      <c r="P15">
        <f t="shared" ref="P15" si="19">H15</f>
        <v>0</v>
      </c>
      <c r="Q15">
        <f>P15*Constants!$B$3</f>
        <v>0</v>
      </c>
      <c r="R15">
        <f t="shared" ref="R15" si="20">IF(Q15-N15&lt;=0, 0, Q15-N15)</f>
        <v>0</v>
      </c>
      <c r="S15">
        <f t="shared" ref="S15" si="21">I15-P15</f>
        <v>8.5500000000000007</v>
      </c>
      <c r="T15">
        <f>S15*Constants!$B$2</f>
        <v>23.94</v>
      </c>
      <c r="V15">
        <f t="shared" ref="V15" si="22">IF(B15="E",1,0)</f>
        <v>0</v>
      </c>
      <c r="W15">
        <f t="shared" ref="W15" si="23">IF(B15=10,1,0)</f>
        <v>0</v>
      </c>
      <c r="AA15" s="8"/>
      <c r="AJ15" s="4"/>
    </row>
    <row r="16" spans="1:40" x14ac:dyDescent="0.25">
      <c r="A16">
        <v>15</v>
      </c>
      <c r="B16">
        <v>9</v>
      </c>
      <c r="C16" t="s">
        <v>49</v>
      </c>
      <c r="D16" s="16" t="s">
        <v>441</v>
      </c>
      <c r="F16">
        <v>21.67</v>
      </c>
      <c r="G16">
        <v>90</v>
      </c>
      <c r="H16">
        <v>3.6</v>
      </c>
      <c r="I16">
        <v>22.55</v>
      </c>
      <c r="L16">
        <f>Constants!$B$2</f>
        <v>2.8</v>
      </c>
      <c r="M16">
        <f t="shared" si="0"/>
        <v>90</v>
      </c>
      <c r="N16">
        <f>P16*Constants!$E$2</f>
        <v>6.12</v>
      </c>
      <c r="P16">
        <f t="shared" si="1"/>
        <v>3.6</v>
      </c>
      <c r="Q16">
        <f>P16*Constants!$B$3</f>
        <v>15.119999999999997</v>
      </c>
      <c r="R16">
        <f t="shared" si="2"/>
        <v>8.9999999999999964</v>
      </c>
      <c r="S16">
        <f t="shared" si="3"/>
        <v>18.95</v>
      </c>
      <c r="T16">
        <f>S16*Constants!$B$2</f>
        <v>53.059999999999995</v>
      </c>
      <c r="V16">
        <f t="shared" si="4"/>
        <v>0</v>
      </c>
      <c r="W16">
        <f t="shared" si="5"/>
        <v>0</v>
      </c>
      <c r="AA16" s="8"/>
      <c r="AJ16" s="4"/>
    </row>
    <row r="17" spans="1:36" x14ac:dyDescent="0.25">
      <c r="A17">
        <v>16</v>
      </c>
      <c r="B17">
        <v>9</v>
      </c>
      <c r="C17" t="s">
        <v>57</v>
      </c>
      <c r="D17" s="16" t="s">
        <v>451</v>
      </c>
      <c r="E17" s="16" t="s">
        <v>441</v>
      </c>
      <c r="F17">
        <v>3.71</v>
      </c>
      <c r="G17" t="s">
        <v>44</v>
      </c>
      <c r="H17">
        <v>0</v>
      </c>
      <c r="I17">
        <v>8.5500000000000007</v>
      </c>
      <c r="L17">
        <f>Constants!$B$2</f>
        <v>2.8</v>
      </c>
      <c r="M17" t="str">
        <f t="shared" si="0"/>
        <v>N/A</v>
      </c>
      <c r="N17">
        <f>P17*Constants!$E$2</f>
        <v>0</v>
      </c>
      <c r="P17">
        <f t="shared" si="1"/>
        <v>0</v>
      </c>
      <c r="Q17">
        <f>P17*Constants!$B$3</f>
        <v>0</v>
      </c>
      <c r="R17">
        <f t="shared" si="2"/>
        <v>0</v>
      </c>
      <c r="S17">
        <f t="shared" si="3"/>
        <v>8.5500000000000007</v>
      </c>
      <c r="T17">
        <f>S17*Constants!$B$2</f>
        <v>23.94</v>
      </c>
      <c r="V17">
        <f t="shared" si="4"/>
        <v>0</v>
      </c>
      <c r="W17">
        <f t="shared" si="5"/>
        <v>0</v>
      </c>
      <c r="AA17" s="8"/>
      <c r="AJ17" s="4"/>
    </row>
    <row r="18" spans="1:36" x14ac:dyDescent="0.25">
      <c r="A18">
        <v>17</v>
      </c>
      <c r="B18">
        <v>9</v>
      </c>
      <c r="C18" t="s">
        <v>49</v>
      </c>
      <c r="D18" s="16" t="s">
        <v>442</v>
      </c>
      <c r="F18">
        <v>21.67</v>
      </c>
      <c r="G18">
        <v>90</v>
      </c>
      <c r="H18">
        <v>3.6</v>
      </c>
      <c r="I18">
        <v>22.55</v>
      </c>
      <c r="L18">
        <f>Constants!$B$2</f>
        <v>2.8</v>
      </c>
      <c r="M18">
        <f t="shared" ref="M18:M19" si="24">IF(N18&gt;0,G18,"N/A")</f>
        <v>90</v>
      </c>
      <c r="N18">
        <f>P18*Constants!$E$2</f>
        <v>6.12</v>
      </c>
      <c r="P18">
        <f t="shared" ref="P18:P19" si="25">H18</f>
        <v>3.6</v>
      </c>
      <c r="Q18">
        <f>P18*Constants!$B$3</f>
        <v>15.119999999999997</v>
      </c>
      <c r="R18">
        <f t="shared" ref="R18:R19" si="26">IF(Q18-N18&lt;=0, 0, Q18-N18)</f>
        <v>8.9999999999999964</v>
      </c>
      <c r="S18">
        <f t="shared" ref="S18:S19" si="27">I18-P18</f>
        <v>18.95</v>
      </c>
      <c r="T18">
        <f>S18*Constants!$B$2</f>
        <v>53.059999999999995</v>
      </c>
      <c r="V18">
        <f t="shared" ref="V18:V19" si="28">IF(B18="E",1,0)</f>
        <v>0</v>
      </c>
      <c r="W18">
        <f t="shared" ref="W18:W19" si="29">IF(B18=10,1,0)</f>
        <v>0</v>
      </c>
      <c r="AA18" s="8"/>
      <c r="AJ18" s="4"/>
    </row>
    <row r="19" spans="1:36" x14ac:dyDescent="0.25">
      <c r="A19">
        <v>18</v>
      </c>
      <c r="B19">
        <v>9</v>
      </c>
      <c r="C19" t="s">
        <v>57</v>
      </c>
      <c r="D19" s="16" t="s">
        <v>452</v>
      </c>
      <c r="E19" s="16" t="s">
        <v>442</v>
      </c>
      <c r="F19">
        <v>3.71</v>
      </c>
      <c r="G19" t="s">
        <v>44</v>
      </c>
      <c r="H19">
        <v>0</v>
      </c>
      <c r="I19">
        <v>8.5500000000000007</v>
      </c>
      <c r="L19">
        <f>Constants!$B$2</f>
        <v>2.8</v>
      </c>
      <c r="M19" t="str">
        <f t="shared" si="24"/>
        <v>N/A</v>
      </c>
      <c r="N19">
        <f>P19*Constants!$E$2</f>
        <v>0</v>
      </c>
      <c r="P19">
        <f t="shared" si="25"/>
        <v>0</v>
      </c>
      <c r="Q19">
        <f>P19*Constants!$B$3</f>
        <v>0</v>
      </c>
      <c r="R19">
        <f t="shared" si="26"/>
        <v>0</v>
      </c>
      <c r="S19">
        <f t="shared" si="27"/>
        <v>8.5500000000000007</v>
      </c>
      <c r="T19">
        <f>S19*Constants!$B$2</f>
        <v>23.94</v>
      </c>
      <c r="V19">
        <f t="shared" si="28"/>
        <v>0</v>
      </c>
      <c r="W19">
        <f t="shared" si="29"/>
        <v>0</v>
      </c>
      <c r="AA19" s="8"/>
      <c r="AJ19" s="4"/>
    </row>
    <row r="20" spans="1:36" x14ac:dyDescent="0.25">
      <c r="A20">
        <v>19</v>
      </c>
      <c r="B20">
        <v>9</v>
      </c>
      <c r="C20" t="s">
        <v>49</v>
      </c>
      <c r="D20" s="16" t="s">
        <v>444</v>
      </c>
      <c r="F20">
        <v>21.67</v>
      </c>
      <c r="G20">
        <v>90</v>
      </c>
      <c r="H20">
        <v>3.6</v>
      </c>
      <c r="I20">
        <v>22.55</v>
      </c>
      <c r="L20">
        <f>Constants!$B$2</f>
        <v>2.8</v>
      </c>
      <c r="M20">
        <f t="shared" ref="M20:M21" si="30">IF(N20&gt;0,G20,"N/A")</f>
        <v>90</v>
      </c>
      <c r="N20">
        <f>P20*Constants!$E$2</f>
        <v>6.12</v>
      </c>
      <c r="P20">
        <f t="shared" ref="P20:P21" si="31">H20</f>
        <v>3.6</v>
      </c>
      <c r="Q20">
        <f>P20*Constants!$B$3</f>
        <v>15.119999999999997</v>
      </c>
      <c r="R20">
        <f t="shared" ref="R20:R21" si="32">IF(Q20-N20&lt;=0, 0, Q20-N20)</f>
        <v>8.9999999999999964</v>
      </c>
      <c r="S20">
        <f t="shared" ref="S20:S21" si="33">I20-P20</f>
        <v>18.95</v>
      </c>
      <c r="T20">
        <f>S20*Constants!$B$2</f>
        <v>53.059999999999995</v>
      </c>
      <c r="V20">
        <f t="shared" ref="V20:V21" si="34">IF(B20="E",1,0)</f>
        <v>0</v>
      </c>
      <c r="W20">
        <f t="shared" ref="W20:W21" si="35">IF(B20=10,1,0)</f>
        <v>0</v>
      </c>
      <c r="AA20" s="8"/>
      <c r="AJ20" s="4"/>
    </row>
    <row r="21" spans="1:36" x14ac:dyDescent="0.25">
      <c r="A21">
        <v>20</v>
      </c>
      <c r="B21">
        <v>9</v>
      </c>
      <c r="C21" t="s">
        <v>57</v>
      </c>
      <c r="D21" s="16" t="s">
        <v>453</v>
      </c>
      <c r="E21" s="16" t="s">
        <v>444</v>
      </c>
      <c r="F21">
        <v>3.71</v>
      </c>
      <c r="G21" t="s">
        <v>44</v>
      </c>
      <c r="H21">
        <v>0</v>
      </c>
      <c r="I21">
        <v>8.5500000000000007</v>
      </c>
      <c r="L21">
        <f>Constants!$B$2</f>
        <v>2.8</v>
      </c>
      <c r="M21" t="str">
        <f t="shared" si="30"/>
        <v>N/A</v>
      </c>
      <c r="N21">
        <f>P21*Constants!$E$2</f>
        <v>0</v>
      </c>
      <c r="P21">
        <f t="shared" si="31"/>
        <v>0</v>
      </c>
      <c r="Q21">
        <f>P21*Constants!$B$3</f>
        <v>0</v>
      </c>
      <c r="R21">
        <f t="shared" si="32"/>
        <v>0</v>
      </c>
      <c r="S21">
        <f t="shared" si="33"/>
        <v>8.5500000000000007</v>
      </c>
      <c r="T21">
        <f>S21*Constants!$B$2</f>
        <v>23.94</v>
      </c>
      <c r="V21">
        <f t="shared" si="34"/>
        <v>0</v>
      </c>
      <c r="W21">
        <f t="shared" si="35"/>
        <v>0</v>
      </c>
      <c r="AA21" s="8"/>
      <c r="AJ21" s="4"/>
    </row>
    <row r="22" spans="1:36" x14ac:dyDescent="0.25">
      <c r="A22">
        <v>21</v>
      </c>
      <c r="B22">
        <v>9</v>
      </c>
      <c r="C22" t="s">
        <v>49</v>
      </c>
      <c r="D22" s="16" t="s">
        <v>445</v>
      </c>
      <c r="F22">
        <v>21.67</v>
      </c>
      <c r="G22">
        <v>90</v>
      </c>
      <c r="H22">
        <v>3.6</v>
      </c>
      <c r="I22">
        <v>22.55</v>
      </c>
      <c r="L22">
        <f>Constants!$B$2</f>
        <v>2.8</v>
      </c>
      <c r="M22">
        <f t="shared" ref="M22:M23" si="36">IF(N22&gt;0,G22,"N/A")</f>
        <v>90</v>
      </c>
      <c r="N22">
        <f>P22*Constants!$E$2</f>
        <v>6.12</v>
      </c>
      <c r="P22">
        <f t="shared" ref="P22:P23" si="37">H22</f>
        <v>3.6</v>
      </c>
      <c r="Q22">
        <f>P22*Constants!$B$3</f>
        <v>15.119999999999997</v>
      </c>
      <c r="R22">
        <f t="shared" ref="R22:R23" si="38">IF(Q22-N22&lt;=0, 0, Q22-N22)</f>
        <v>8.9999999999999964</v>
      </c>
      <c r="S22">
        <f t="shared" ref="S22:S23" si="39">I22-P22</f>
        <v>18.95</v>
      </c>
      <c r="T22">
        <f>S22*Constants!$B$2</f>
        <v>53.059999999999995</v>
      </c>
      <c r="V22">
        <f t="shared" ref="V22:V23" si="40">IF(B22="E",1,0)</f>
        <v>0</v>
      </c>
      <c r="W22">
        <f t="shared" ref="W22:W23" si="41">IF(B22=10,1,0)</f>
        <v>0</v>
      </c>
      <c r="AA22" s="8"/>
      <c r="AJ22" s="4"/>
    </row>
    <row r="23" spans="1:36" x14ac:dyDescent="0.25">
      <c r="A23">
        <v>22</v>
      </c>
      <c r="B23">
        <v>9</v>
      </c>
      <c r="C23" t="s">
        <v>57</v>
      </c>
      <c r="D23" s="16" t="s">
        <v>454</v>
      </c>
      <c r="E23" s="16" t="s">
        <v>445</v>
      </c>
      <c r="F23">
        <v>3.71</v>
      </c>
      <c r="G23" t="s">
        <v>44</v>
      </c>
      <c r="H23">
        <v>0</v>
      </c>
      <c r="I23">
        <v>8.5500000000000007</v>
      </c>
      <c r="L23">
        <f>Constants!$B$2</f>
        <v>2.8</v>
      </c>
      <c r="M23" t="str">
        <f t="shared" si="36"/>
        <v>N/A</v>
      </c>
      <c r="N23">
        <f>P23*Constants!$E$2</f>
        <v>0</v>
      </c>
      <c r="P23">
        <f t="shared" si="37"/>
        <v>0</v>
      </c>
      <c r="Q23">
        <f>P23*Constants!$B$3</f>
        <v>0</v>
      </c>
      <c r="R23">
        <f t="shared" si="38"/>
        <v>0</v>
      </c>
      <c r="S23">
        <f t="shared" si="39"/>
        <v>8.5500000000000007</v>
      </c>
      <c r="T23">
        <f>S23*Constants!$B$2</f>
        <v>23.94</v>
      </c>
      <c r="V23">
        <f t="shared" si="40"/>
        <v>0</v>
      </c>
      <c r="W23">
        <f t="shared" si="41"/>
        <v>0</v>
      </c>
      <c r="AA23" s="8"/>
      <c r="AJ23" s="4"/>
    </row>
    <row r="24" spans="1:36" x14ac:dyDescent="0.25">
      <c r="A24">
        <v>23</v>
      </c>
      <c r="B24">
        <v>9</v>
      </c>
      <c r="C24" t="s">
        <v>62</v>
      </c>
      <c r="D24" s="16" t="s">
        <v>446</v>
      </c>
      <c r="F24">
        <v>67.540000000000006</v>
      </c>
      <c r="G24" t="s">
        <v>44</v>
      </c>
      <c r="H24">
        <v>0</v>
      </c>
      <c r="I24">
        <v>66.87</v>
      </c>
      <c r="L24">
        <f>Constants!$B$2</f>
        <v>2.8</v>
      </c>
      <c r="M24" t="str">
        <f t="shared" ref="M24" si="42">IF(N24&gt;0,G24,"N/A")</f>
        <v>N/A</v>
      </c>
      <c r="N24">
        <f>P24*Constants!$E$2</f>
        <v>0</v>
      </c>
      <c r="P24">
        <f t="shared" ref="P24" si="43">H24</f>
        <v>0</v>
      </c>
      <c r="Q24">
        <f>P24*Constants!$B$3</f>
        <v>0</v>
      </c>
      <c r="R24">
        <f t="shared" ref="R24" si="44">IF(Q24-N24&lt;=0, 0, Q24-N24)</f>
        <v>0</v>
      </c>
      <c r="S24">
        <f t="shared" ref="S24" si="45">I24-P24</f>
        <v>66.87</v>
      </c>
      <c r="T24">
        <f>S24*Constants!$B$2</f>
        <v>187.23599999999999</v>
      </c>
      <c r="V24">
        <f t="shared" ref="V24" si="46">IF(B24="E",1,0)</f>
        <v>0</v>
      </c>
      <c r="W24">
        <f t="shared" ref="W24" si="47">IF(B24=10,1,0)</f>
        <v>0</v>
      </c>
      <c r="AA24" s="8"/>
      <c r="AJ24" s="4"/>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4"/>
    </row>
    <row r="435" spans="4:4" x14ac:dyDescent="0.25">
      <c r="D435" s="14"/>
    </row>
    <row r="436" spans="4:4" x14ac:dyDescent="0.25">
      <c r="D436" s="13"/>
    </row>
    <row r="437" spans="4:4" x14ac:dyDescent="0.25">
      <c r="D437" s="13"/>
    </row>
    <row r="438" spans="4:4" x14ac:dyDescent="0.25">
      <c r="D438" s="13"/>
    </row>
    <row r="439" spans="4:4" x14ac:dyDescent="0.25">
      <c r="D439" s="13"/>
    </row>
    <row r="440" spans="4:4" x14ac:dyDescent="0.25">
      <c r="D440" s="13"/>
    </row>
    <row r="441" spans="4:4" x14ac:dyDescent="0.25">
      <c r="D441" s="13"/>
    </row>
    <row r="442" spans="4:4" x14ac:dyDescent="0.25">
      <c r="D442" s="13"/>
    </row>
    <row r="443" spans="4:4" x14ac:dyDescent="0.25">
      <c r="D443" s="13"/>
    </row>
  </sheetData>
  <phoneticPr fontId="5" type="noConversion"/>
  <pageMargins left="0.7" right="0.7" top="0.78740157499999996" bottom="0.78740157499999996"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24"/>
  <sheetViews>
    <sheetView zoomScaleNormal="100" workbookViewId="0">
      <pane xSplit="4" ySplit="1" topLeftCell="H2" activePane="bottomRight" state="frozen"/>
      <selection pane="topRight" activeCell="F1" sqref="F1"/>
      <selection pane="bottomLeft" activeCell="A2" sqref="A2"/>
      <selection pane="bottomRight" activeCell="D21" sqref="D21"/>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49</v>
      </c>
      <c r="D2" s="16" t="s">
        <v>455</v>
      </c>
      <c r="F2">
        <v>21.82</v>
      </c>
      <c r="G2">
        <v>270</v>
      </c>
      <c r="H2">
        <v>3.6</v>
      </c>
      <c r="I2">
        <v>22.25</v>
      </c>
      <c r="L2">
        <f>Constants!$B$2</f>
        <v>2.8</v>
      </c>
      <c r="M2">
        <f t="shared" ref="M2:M16" si="0">IF(N2&gt;0,G2,"N/A")</f>
        <v>270</v>
      </c>
      <c r="N2">
        <f>P2*Constants!$E$2</f>
        <v>6.12</v>
      </c>
      <c r="P2">
        <f>H2</f>
        <v>3.6</v>
      </c>
      <c r="Q2">
        <f>P2*Constants!$B$3</f>
        <v>15.119999999999997</v>
      </c>
      <c r="R2">
        <f>IF(Q2-N2&lt;=0, 0, Q2-N2)</f>
        <v>8.9999999999999964</v>
      </c>
      <c r="S2">
        <f>I2-P2</f>
        <v>18.649999999999999</v>
      </c>
      <c r="T2">
        <f>S2*Constants!$B$2</f>
        <v>52.219999999999992</v>
      </c>
      <c r="V2">
        <f>IF(B2="E",1,0)</f>
        <v>0</v>
      </c>
      <c r="W2">
        <f>IF(B2=10,1,0)</f>
        <v>0</v>
      </c>
      <c r="AA2" s="8"/>
      <c r="AJ2" s="4"/>
    </row>
    <row r="3" spans="1:40" x14ac:dyDescent="0.25">
      <c r="A3">
        <v>2</v>
      </c>
      <c r="B3">
        <v>9</v>
      </c>
      <c r="C3" t="s">
        <v>57</v>
      </c>
      <c r="D3" s="16" t="s">
        <v>468</v>
      </c>
      <c r="E3" s="16" t="s">
        <v>455</v>
      </c>
      <c r="F3">
        <v>3.71</v>
      </c>
      <c r="G3" t="s">
        <v>44</v>
      </c>
      <c r="H3">
        <v>0</v>
      </c>
      <c r="I3">
        <v>8.5500000000000007</v>
      </c>
      <c r="L3">
        <f>Constants!$B$2</f>
        <v>2.8</v>
      </c>
      <c r="M3" t="str">
        <f t="shared" si="0"/>
        <v>N/A</v>
      </c>
      <c r="N3">
        <f>P3*Constants!$E$2</f>
        <v>0</v>
      </c>
      <c r="P3">
        <f t="shared" ref="P3" si="1">H3</f>
        <v>0</v>
      </c>
      <c r="Q3">
        <f>P3*Constants!$B$3</f>
        <v>0</v>
      </c>
      <c r="R3">
        <f t="shared" ref="R3" si="2">IF(Q3-N3&lt;=0, 0, Q3-N3)</f>
        <v>0</v>
      </c>
      <c r="S3">
        <f t="shared" ref="S3" si="3">I3-P3</f>
        <v>8.5500000000000007</v>
      </c>
      <c r="T3">
        <f>S3*Constants!$B$2</f>
        <v>23.94</v>
      </c>
      <c r="V3">
        <f t="shared" ref="V3" si="4">IF(B3="E",1,0)</f>
        <v>0</v>
      </c>
      <c r="W3">
        <f t="shared" ref="W3" si="5">IF(B3=10,1,0)</f>
        <v>0</v>
      </c>
      <c r="AA3" s="8"/>
      <c r="AJ3" s="4"/>
    </row>
    <row r="4" spans="1:40" x14ac:dyDescent="0.25">
      <c r="A4">
        <v>3</v>
      </c>
      <c r="B4">
        <v>9</v>
      </c>
      <c r="C4" t="s">
        <v>49</v>
      </c>
      <c r="D4" s="16" t="s">
        <v>456</v>
      </c>
      <c r="F4">
        <v>21.82</v>
      </c>
      <c r="G4">
        <v>270</v>
      </c>
      <c r="H4">
        <v>3.6</v>
      </c>
      <c r="I4">
        <v>22.25</v>
      </c>
      <c r="L4">
        <f>Constants!$B$2</f>
        <v>2.8</v>
      </c>
      <c r="M4">
        <f t="shared" ref="M4:M5" si="6">IF(N4&gt;0,G4,"N/A")</f>
        <v>270</v>
      </c>
      <c r="N4">
        <f>P4*Constants!$E$2</f>
        <v>6.12</v>
      </c>
      <c r="P4">
        <f>H4</f>
        <v>3.6</v>
      </c>
      <c r="Q4">
        <f>P4*Constants!$B$3</f>
        <v>15.119999999999997</v>
      </c>
      <c r="R4">
        <f>IF(Q4-N4&lt;=0, 0, Q4-N4)</f>
        <v>8.9999999999999964</v>
      </c>
      <c r="S4">
        <f>I4-P4</f>
        <v>18.649999999999999</v>
      </c>
      <c r="T4">
        <f>S4*Constants!$B$2</f>
        <v>52.219999999999992</v>
      </c>
      <c r="V4">
        <f>IF(B4="E",1,0)</f>
        <v>0</v>
      </c>
      <c r="W4">
        <f>IF(B4=10,1,0)</f>
        <v>0</v>
      </c>
      <c r="AA4" s="8"/>
      <c r="AJ4" s="4"/>
    </row>
    <row r="5" spans="1:40" x14ac:dyDescent="0.25">
      <c r="A5">
        <v>4</v>
      </c>
      <c r="B5">
        <v>9</v>
      </c>
      <c r="C5" t="s">
        <v>57</v>
      </c>
      <c r="D5" s="16" t="s">
        <v>469</v>
      </c>
      <c r="E5" s="16" t="s">
        <v>456</v>
      </c>
      <c r="F5">
        <v>3.71</v>
      </c>
      <c r="G5" t="s">
        <v>44</v>
      </c>
      <c r="H5">
        <v>0</v>
      </c>
      <c r="I5">
        <v>8.5500000000000007</v>
      </c>
      <c r="L5">
        <f>Constants!$B$2</f>
        <v>2.8</v>
      </c>
      <c r="M5" t="str">
        <f t="shared" si="6"/>
        <v>N/A</v>
      </c>
      <c r="N5">
        <f>P5*Constants!$E$2</f>
        <v>0</v>
      </c>
      <c r="P5">
        <f t="shared" ref="P5" si="7">H5</f>
        <v>0</v>
      </c>
      <c r="Q5">
        <f>P5*Constants!$B$3</f>
        <v>0</v>
      </c>
      <c r="R5">
        <f t="shared" ref="R5" si="8">IF(Q5-N5&lt;=0, 0, Q5-N5)</f>
        <v>0</v>
      </c>
      <c r="S5">
        <f t="shared" ref="S5" si="9">I5-P5</f>
        <v>8.5500000000000007</v>
      </c>
      <c r="T5">
        <f>S5*Constants!$B$2</f>
        <v>23.94</v>
      </c>
      <c r="V5">
        <f t="shared" ref="V5" si="10">IF(B5="E",1,0)</f>
        <v>0</v>
      </c>
      <c r="W5">
        <f t="shared" ref="W5" si="11">IF(B5=10,1,0)</f>
        <v>0</v>
      </c>
      <c r="AA5" s="8"/>
      <c r="AJ5" s="4"/>
    </row>
    <row r="6" spans="1:40" x14ac:dyDescent="0.25">
      <c r="A6">
        <v>5</v>
      </c>
      <c r="B6">
        <v>9</v>
      </c>
      <c r="C6" t="s">
        <v>49</v>
      </c>
      <c r="D6" s="16" t="s">
        <v>457</v>
      </c>
      <c r="F6">
        <v>21.82</v>
      </c>
      <c r="G6">
        <v>270</v>
      </c>
      <c r="H6">
        <v>3.6</v>
      </c>
      <c r="I6">
        <v>22.25</v>
      </c>
      <c r="L6">
        <f>Constants!$B$2</f>
        <v>2.8</v>
      </c>
      <c r="M6">
        <f t="shared" ref="M6:M7" si="12">IF(N6&gt;0,G6,"N/A")</f>
        <v>270</v>
      </c>
      <c r="N6">
        <f>P6*Constants!$E$2</f>
        <v>6.12</v>
      </c>
      <c r="P6">
        <f>H6</f>
        <v>3.6</v>
      </c>
      <c r="Q6">
        <f>P6*Constants!$B$3</f>
        <v>15.119999999999997</v>
      </c>
      <c r="R6">
        <f>IF(Q6-N6&lt;=0, 0, Q6-N6)</f>
        <v>8.9999999999999964</v>
      </c>
      <c r="S6">
        <f>I6-P6</f>
        <v>18.649999999999999</v>
      </c>
      <c r="T6">
        <f>S6*Constants!$B$2</f>
        <v>52.219999999999992</v>
      </c>
      <c r="V6">
        <f>IF(B6="E",1,0)</f>
        <v>0</v>
      </c>
      <c r="W6">
        <f>IF(B6=10,1,0)</f>
        <v>0</v>
      </c>
      <c r="AA6" s="8"/>
      <c r="AJ6" s="4"/>
    </row>
    <row r="7" spans="1:40" x14ac:dyDescent="0.25">
      <c r="A7">
        <v>6</v>
      </c>
      <c r="B7">
        <v>9</v>
      </c>
      <c r="C7" t="s">
        <v>57</v>
      </c>
      <c r="D7" s="16" t="s">
        <v>470</v>
      </c>
      <c r="E7" s="16" t="s">
        <v>457</v>
      </c>
      <c r="F7">
        <v>3.71</v>
      </c>
      <c r="G7" t="s">
        <v>44</v>
      </c>
      <c r="H7">
        <v>0</v>
      </c>
      <c r="I7">
        <v>8.5500000000000007</v>
      </c>
      <c r="L7">
        <f>Constants!$B$2</f>
        <v>2.8</v>
      </c>
      <c r="M7" t="str">
        <f t="shared" si="12"/>
        <v>N/A</v>
      </c>
      <c r="N7">
        <f>P7*Constants!$E$2</f>
        <v>0</v>
      </c>
      <c r="P7">
        <f t="shared" ref="P7" si="13">H7</f>
        <v>0</v>
      </c>
      <c r="Q7">
        <f>P7*Constants!$B$3</f>
        <v>0</v>
      </c>
      <c r="R7">
        <f t="shared" ref="R7" si="14">IF(Q7-N7&lt;=0, 0, Q7-N7)</f>
        <v>0</v>
      </c>
      <c r="S7">
        <f t="shared" ref="S7" si="15">I7-P7</f>
        <v>8.5500000000000007</v>
      </c>
      <c r="T7">
        <f>S7*Constants!$B$2</f>
        <v>23.94</v>
      </c>
      <c r="V7">
        <f t="shared" ref="V7" si="16">IF(B7="E",1,0)</f>
        <v>0</v>
      </c>
      <c r="W7">
        <f t="shared" ref="W7" si="17">IF(B7=10,1,0)</f>
        <v>0</v>
      </c>
      <c r="AA7" s="8"/>
      <c r="AJ7" s="4"/>
    </row>
    <row r="8" spans="1:40" x14ac:dyDescent="0.25">
      <c r="A8">
        <v>7</v>
      </c>
      <c r="B8">
        <v>9</v>
      </c>
      <c r="C8" t="s">
        <v>49</v>
      </c>
      <c r="D8" s="16" t="s">
        <v>458</v>
      </c>
      <c r="F8">
        <v>21.82</v>
      </c>
      <c r="G8">
        <v>270</v>
      </c>
      <c r="H8">
        <v>3.6</v>
      </c>
      <c r="I8">
        <v>22.25</v>
      </c>
      <c r="L8">
        <f>Constants!$B$2</f>
        <v>2.8</v>
      </c>
      <c r="M8">
        <f t="shared" ref="M8:M9" si="18">IF(N8&gt;0,G8,"N/A")</f>
        <v>270</v>
      </c>
      <c r="N8">
        <f>P8*Constants!$E$2</f>
        <v>6.12</v>
      </c>
      <c r="P8">
        <f>H8</f>
        <v>3.6</v>
      </c>
      <c r="Q8">
        <f>P8*Constants!$B$3</f>
        <v>15.119999999999997</v>
      </c>
      <c r="R8">
        <f>IF(Q8-N8&lt;=0, 0, Q8-N8)</f>
        <v>8.9999999999999964</v>
      </c>
      <c r="S8">
        <f>I8-P8</f>
        <v>18.649999999999999</v>
      </c>
      <c r="T8">
        <f>S8*Constants!$B$2</f>
        <v>52.219999999999992</v>
      </c>
      <c r="V8">
        <f>IF(B8="E",1,0)</f>
        <v>0</v>
      </c>
      <c r="W8">
        <f>IF(B8=10,1,0)</f>
        <v>0</v>
      </c>
      <c r="AA8" s="8"/>
      <c r="AJ8" s="4"/>
    </row>
    <row r="9" spans="1:40" x14ac:dyDescent="0.25">
      <c r="A9">
        <v>8</v>
      </c>
      <c r="B9">
        <v>9</v>
      </c>
      <c r="C9" t="s">
        <v>57</v>
      </c>
      <c r="D9" s="16" t="s">
        <v>471</v>
      </c>
      <c r="E9" s="16" t="s">
        <v>458</v>
      </c>
      <c r="F9">
        <v>3.71</v>
      </c>
      <c r="G9" t="s">
        <v>44</v>
      </c>
      <c r="H9">
        <v>0</v>
      </c>
      <c r="I9">
        <v>8.5500000000000007</v>
      </c>
      <c r="L9">
        <f>Constants!$B$2</f>
        <v>2.8</v>
      </c>
      <c r="M9" t="str">
        <f t="shared" si="18"/>
        <v>N/A</v>
      </c>
      <c r="N9">
        <f>P9*Constants!$E$2</f>
        <v>0</v>
      </c>
      <c r="P9">
        <f t="shared" ref="P9" si="19">H9</f>
        <v>0</v>
      </c>
      <c r="Q9">
        <f>P9*Constants!$B$3</f>
        <v>0</v>
      </c>
      <c r="R9">
        <f t="shared" ref="R9" si="20">IF(Q9-N9&lt;=0, 0, Q9-N9)</f>
        <v>0</v>
      </c>
      <c r="S9">
        <f t="shared" ref="S9" si="21">I9-P9</f>
        <v>8.5500000000000007</v>
      </c>
      <c r="T9">
        <f>S9*Constants!$B$2</f>
        <v>23.94</v>
      </c>
      <c r="V9">
        <f t="shared" ref="V9" si="22">IF(B9="E",1,0)</f>
        <v>0</v>
      </c>
      <c r="W9">
        <f t="shared" ref="W9" si="23">IF(B9=10,1,0)</f>
        <v>0</v>
      </c>
      <c r="AA9" s="8"/>
      <c r="AJ9" s="4"/>
    </row>
    <row r="10" spans="1:40" x14ac:dyDescent="0.25">
      <c r="A10">
        <v>9</v>
      </c>
      <c r="B10">
        <v>9</v>
      </c>
      <c r="C10" t="s">
        <v>49</v>
      </c>
      <c r="D10" s="16" t="s">
        <v>459</v>
      </c>
      <c r="F10">
        <v>21.82</v>
      </c>
      <c r="G10">
        <v>270</v>
      </c>
      <c r="H10">
        <v>3.6</v>
      </c>
      <c r="I10">
        <v>22.25</v>
      </c>
      <c r="L10">
        <f>Constants!$B$2</f>
        <v>2.8</v>
      </c>
      <c r="M10">
        <f t="shared" ref="M10:M11" si="24">IF(N10&gt;0,G10,"N/A")</f>
        <v>270</v>
      </c>
      <c r="N10">
        <f>P10*Constants!$E$2</f>
        <v>6.12</v>
      </c>
      <c r="P10">
        <f>H10</f>
        <v>3.6</v>
      </c>
      <c r="Q10">
        <f>P10*Constants!$B$3</f>
        <v>15.119999999999997</v>
      </c>
      <c r="R10">
        <f>IF(Q10-N10&lt;=0, 0, Q10-N10)</f>
        <v>8.9999999999999964</v>
      </c>
      <c r="S10">
        <f>I10-P10</f>
        <v>18.649999999999999</v>
      </c>
      <c r="T10">
        <f>S10*Constants!$B$2</f>
        <v>52.219999999999992</v>
      </c>
      <c r="V10">
        <f>IF(B10="E",1,0)</f>
        <v>0</v>
      </c>
      <c r="W10">
        <f>IF(B10=10,1,0)</f>
        <v>0</v>
      </c>
      <c r="AA10" s="8"/>
      <c r="AJ10" s="4"/>
    </row>
    <row r="11" spans="1:40" x14ac:dyDescent="0.25">
      <c r="A11">
        <v>10</v>
      </c>
      <c r="B11">
        <v>9</v>
      </c>
      <c r="C11" t="s">
        <v>57</v>
      </c>
      <c r="D11" s="16" t="s">
        <v>472</v>
      </c>
      <c r="E11" s="16" t="s">
        <v>459</v>
      </c>
      <c r="F11">
        <v>3.71</v>
      </c>
      <c r="G11" t="s">
        <v>44</v>
      </c>
      <c r="H11">
        <v>0</v>
      </c>
      <c r="I11">
        <v>8.5500000000000007</v>
      </c>
      <c r="L11">
        <f>Constants!$B$2</f>
        <v>2.8</v>
      </c>
      <c r="M11" t="str">
        <f t="shared" si="24"/>
        <v>N/A</v>
      </c>
      <c r="N11">
        <f>P11*Constants!$E$2</f>
        <v>0</v>
      </c>
      <c r="P11">
        <f t="shared" ref="P11" si="25">H11</f>
        <v>0</v>
      </c>
      <c r="Q11">
        <f>P11*Constants!$B$3</f>
        <v>0</v>
      </c>
      <c r="R11">
        <f t="shared" ref="R11" si="26">IF(Q11-N11&lt;=0, 0, Q11-N11)</f>
        <v>0</v>
      </c>
      <c r="S11">
        <f t="shared" ref="S11" si="27">I11-P11</f>
        <v>8.5500000000000007</v>
      </c>
      <c r="T11">
        <f>S11*Constants!$B$2</f>
        <v>23.94</v>
      </c>
      <c r="V11">
        <f t="shared" ref="V11" si="28">IF(B11="E",1,0)</f>
        <v>0</v>
      </c>
      <c r="W11">
        <f t="shared" ref="W11" si="29">IF(B11=10,1,0)</f>
        <v>0</v>
      </c>
      <c r="AA11" s="8"/>
      <c r="AJ11" s="4"/>
    </row>
    <row r="12" spans="1:40" x14ac:dyDescent="0.25">
      <c r="A12">
        <v>11</v>
      </c>
      <c r="B12">
        <v>9</v>
      </c>
      <c r="C12" t="s">
        <v>49</v>
      </c>
      <c r="D12" s="16" t="s">
        <v>460</v>
      </c>
      <c r="F12">
        <v>21.82</v>
      </c>
      <c r="G12">
        <v>270</v>
      </c>
      <c r="H12">
        <v>3.6</v>
      </c>
      <c r="I12">
        <v>22.25</v>
      </c>
      <c r="L12">
        <f>Constants!$B$2</f>
        <v>2.8</v>
      </c>
      <c r="M12">
        <f t="shared" ref="M12:M13" si="30">IF(N12&gt;0,G12,"N/A")</f>
        <v>270</v>
      </c>
      <c r="N12">
        <f>P12*Constants!$E$2</f>
        <v>6.12</v>
      </c>
      <c r="P12">
        <f>H12</f>
        <v>3.6</v>
      </c>
      <c r="Q12">
        <f>P12*Constants!$B$3</f>
        <v>15.119999999999997</v>
      </c>
      <c r="R12">
        <f>IF(Q12-N12&lt;=0, 0, Q12-N12)</f>
        <v>8.9999999999999964</v>
      </c>
      <c r="S12">
        <f>I12-P12</f>
        <v>18.649999999999999</v>
      </c>
      <c r="T12">
        <f>S12*Constants!$B$2</f>
        <v>52.219999999999992</v>
      </c>
      <c r="V12">
        <f>IF(B12="E",1,0)</f>
        <v>0</v>
      </c>
      <c r="W12">
        <f>IF(B12=10,1,0)</f>
        <v>0</v>
      </c>
      <c r="AA12" s="8"/>
      <c r="AJ12" s="4"/>
    </row>
    <row r="13" spans="1:40" x14ac:dyDescent="0.25">
      <c r="A13">
        <v>12</v>
      </c>
      <c r="B13">
        <v>9</v>
      </c>
      <c r="C13" t="s">
        <v>57</v>
      </c>
      <c r="D13" s="16" t="s">
        <v>473</v>
      </c>
      <c r="E13" s="16" t="s">
        <v>460</v>
      </c>
      <c r="F13">
        <v>3.71</v>
      </c>
      <c r="G13" t="s">
        <v>44</v>
      </c>
      <c r="H13">
        <v>0</v>
      </c>
      <c r="I13">
        <v>8.5500000000000007</v>
      </c>
      <c r="L13">
        <f>Constants!$B$2</f>
        <v>2.8</v>
      </c>
      <c r="M13" t="str">
        <f t="shared" si="30"/>
        <v>N/A</v>
      </c>
      <c r="N13">
        <f>P13*Constants!$E$2</f>
        <v>0</v>
      </c>
      <c r="P13">
        <f t="shared" ref="P13" si="31">H13</f>
        <v>0</v>
      </c>
      <c r="Q13">
        <f>P13*Constants!$B$3</f>
        <v>0</v>
      </c>
      <c r="R13">
        <f t="shared" ref="R13" si="32">IF(Q13-N13&lt;=0, 0, Q13-N13)</f>
        <v>0</v>
      </c>
      <c r="S13">
        <f t="shared" ref="S13" si="33">I13-P13</f>
        <v>8.5500000000000007</v>
      </c>
      <c r="T13">
        <f>S13*Constants!$B$2</f>
        <v>23.94</v>
      </c>
      <c r="V13">
        <f t="shared" ref="V13" si="34">IF(B13="E",1,0)</f>
        <v>0</v>
      </c>
      <c r="W13">
        <f t="shared" ref="W13" si="35">IF(B13=10,1,0)</f>
        <v>0</v>
      </c>
      <c r="AA13" s="8"/>
      <c r="AJ13" s="4"/>
    </row>
    <row r="14" spans="1:40" x14ac:dyDescent="0.25">
      <c r="A14">
        <v>13</v>
      </c>
      <c r="B14">
        <v>9</v>
      </c>
      <c r="C14" t="s">
        <v>62</v>
      </c>
      <c r="D14" s="16" t="s">
        <v>465</v>
      </c>
      <c r="E14" s="16"/>
      <c r="F14">
        <v>93.22</v>
      </c>
      <c r="G14" t="s">
        <v>44</v>
      </c>
      <c r="H14">
        <v>0</v>
      </c>
      <c r="I14">
        <v>83.04</v>
      </c>
      <c r="L14">
        <f>Constants!$B$2</f>
        <v>2.8</v>
      </c>
      <c r="M14" t="str">
        <f t="shared" si="0"/>
        <v>N/A</v>
      </c>
      <c r="N14">
        <f>P14*Constants!$E$2</f>
        <v>0</v>
      </c>
      <c r="P14">
        <f t="shared" ref="P14" si="36">H14</f>
        <v>0</v>
      </c>
      <c r="Q14">
        <f>P14*Constants!$B$3</f>
        <v>0</v>
      </c>
      <c r="R14">
        <f t="shared" ref="R14" si="37">IF(Q14-N14&lt;=0, 0, Q14-N14)</f>
        <v>0</v>
      </c>
      <c r="S14">
        <f t="shared" ref="S14" si="38">I14-P14</f>
        <v>83.04</v>
      </c>
      <c r="T14">
        <f>S14*Constants!$B$2</f>
        <v>232.512</v>
      </c>
      <c r="V14">
        <f t="shared" ref="V14" si="39">IF(B14="E",1,0)</f>
        <v>0</v>
      </c>
      <c r="W14">
        <f t="shared" ref="W14" si="40">IF(B14=10,1,0)</f>
        <v>0</v>
      </c>
      <c r="AA14" s="8"/>
      <c r="AJ14" s="4"/>
    </row>
    <row r="15" spans="1:40" x14ac:dyDescent="0.25">
      <c r="A15">
        <v>14</v>
      </c>
      <c r="B15">
        <v>9</v>
      </c>
      <c r="C15" t="s">
        <v>49</v>
      </c>
      <c r="D15" s="16" t="s">
        <v>461</v>
      </c>
      <c r="F15">
        <v>21.82</v>
      </c>
      <c r="G15">
        <v>270</v>
      </c>
      <c r="H15">
        <v>3.6</v>
      </c>
      <c r="I15">
        <v>22.25</v>
      </c>
      <c r="L15">
        <f>Constants!$B$2</f>
        <v>2.8</v>
      </c>
      <c r="M15">
        <f t="shared" si="0"/>
        <v>270</v>
      </c>
      <c r="N15">
        <f>P15*Constants!$E$2</f>
        <v>6.12</v>
      </c>
      <c r="P15">
        <f>H15</f>
        <v>3.6</v>
      </c>
      <c r="Q15">
        <f>P15*Constants!$B$3</f>
        <v>15.119999999999997</v>
      </c>
      <c r="R15">
        <f>IF(Q15-N15&lt;=0, 0, Q15-N15)</f>
        <v>8.9999999999999964</v>
      </c>
      <c r="S15">
        <f>I15-P15</f>
        <v>18.649999999999999</v>
      </c>
      <c r="T15">
        <f>S15*Constants!$B$2</f>
        <v>52.219999999999992</v>
      </c>
      <c r="V15">
        <f>IF(B15="E",1,0)</f>
        <v>0</v>
      </c>
      <c r="W15">
        <f>IF(B15=10,1,0)</f>
        <v>0</v>
      </c>
      <c r="AA15" s="8"/>
      <c r="AJ15" s="4"/>
    </row>
    <row r="16" spans="1:40" x14ac:dyDescent="0.25">
      <c r="A16">
        <v>15</v>
      </c>
      <c r="B16">
        <v>9</v>
      </c>
      <c r="C16" t="s">
        <v>57</v>
      </c>
      <c r="D16" s="16" t="s">
        <v>474</v>
      </c>
      <c r="E16" s="16" t="s">
        <v>461</v>
      </c>
      <c r="F16">
        <v>3.71</v>
      </c>
      <c r="G16" t="s">
        <v>44</v>
      </c>
      <c r="H16">
        <v>0</v>
      </c>
      <c r="I16">
        <v>8.5500000000000007</v>
      </c>
      <c r="L16">
        <f>Constants!$B$2</f>
        <v>2.8</v>
      </c>
      <c r="M16" t="str">
        <f t="shared" si="0"/>
        <v>N/A</v>
      </c>
      <c r="N16">
        <f>P16*Constants!$E$2</f>
        <v>0</v>
      </c>
      <c r="P16">
        <f t="shared" ref="P16" si="41">H16</f>
        <v>0</v>
      </c>
      <c r="Q16">
        <f>P16*Constants!$B$3</f>
        <v>0</v>
      </c>
      <c r="R16">
        <f t="shared" ref="R16" si="42">IF(Q16-N16&lt;=0, 0, Q16-N16)</f>
        <v>0</v>
      </c>
      <c r="S16">
        <f t="shared" ref="S16" si="43">I16-P16</f>
        <v>8.5500000000000007</v>
      </c>
      <c r="T16">
        <f>S16*Constants!$B$2</f>
        <v>23.94</v>
      </c>
      <c r="V16">
        <f t="shared" ref="V16" si="44">IF(B16="E",1,0)</f>
        <v>0</v>
      </c>
      <c r="W16">
        <f t="shared" ref="W16" si="45">IF(B16=10,1,0)</f>
        <v>0</v>
      </c>
      <c r="AA16" s="8"/>
      <c r="AJ16" s="4"/>
    </row>
    <row r="17" spans="1:36" x14ac:dyDescent="0.25">
      <c r="A17">
        <v>16</v>
      </c>
      <c r="B17">
        <v>9</v>
      </c>
      <c r="C17" t="s">
        <v>49</v>
      </c>
      <c r="D17" s="16" t="s">
        <v>462</v>
      </c>
      <c r="F17">
        <v>21.82</v>
      </c>
      <c r="G17">
        <v>270</v>
      </c>
      <c r="H17">
        <v>3.6</v>
      </c>
      <c r="I17">
        <v>22.25</v>
      </c>
      <c r="L17">
        <f>Constants!$B$2</f>
        <v>2.8</v>
      </c>
      <c r="M17">
        <f t="shared" ref="M17:M19" si="46">IF(N17&gt;0,G17,"N/A")</f>
        <v>270</v>
      </c>
      <c r="N17">
        <f>P17*Constants!$E$2</f>
        <v>6.12</v>
      </c>
      <c r="P17">
        <f>H17</f>
        <v>3.6</v>
      </c>
      <c r="Q17">
        <f>P17*Constants!$B$3</f>
        <v>15.119999999999997</v>
      </c>
      <c r="R17">
        <f>IF(Q17-N17&lt;=0, 0, Q17-N17)</f>
        <v>8.9999999999999964</v>
      </c>
      <c r="S17">
        <f>I17-P17</f>
        <v>18.649999999999999</v>
      </c>
      <c r="T17">
        <f>S17*Constants!$B$2</f>
        <v>52.219999999999992</v>
      </c>
      <c r="V17">
        <f>IF(B17="E",1,0)</f>
        <v>0</v>
      </c>
      <c r="W17">
        <f>IF(B17=10,1,0)</f>
        <v>0</v>
      </c>
      <c r="AA17" s="8"/>
      <c r="AJ17" s="4"/>
    </row>
    <row r="18" spans="1:36" x14ac:dyDescent="0.25">
      <c r="A18">
        <v>17</v>
      </c>
      <c r="B18">
        <v>9</v>
      </c>
      <c r="C18" t="s">
        <v>57</v>
      </c>
      <c r="D18" s="16" t="s">
        <v>475</v>
      </c>
      <c r="E18" s="16" t="s">
        <v>462</v>
      </c>
      <c r="F18">
        <v>3.71</v>
      </c>
      <c r="G18" t="s">
        <v>44</v>
      </c>
      <c r="H18">
        <v>0</v>
      </c>
      <c r="I18">
        <v>8.5500000000000007</v>
      </c>
      <c r="L18">
        <f>Constants!$B$2</f>
        <v>2.8</v>
      </c>
      <c r="M18" t="str">
        <f t="shared" si="46"/>
        <v>N/A</v>
      </c>
      <c r="N18">
        <f>P18*Constants!$E$2</f>
        <v>0</v>
      </c>
      <c r="P18">
        <f t="shared" ref="P18:P20" si="47">H18</f>
        <v>0</v>
      </c>
      <c r="Q18">
        <f>P18*Constants!$B$3</f>
        <v>0</v>
      </c>
      <c r="R18">
        <f t="shared" ref="R18:R20" si="48">IF(Q18-N18&lt;=0, 0, Q18-N18)</f>
        <v>0</v>
      </c>
      <c r="S18">
        <f t="shared" ref="S18:S20" si="49">I18-P18</f>
        <v>8.5500000000000007</v>
      </c>
      <c r="T18">
        <f>S18*Constants!$B$2</f>
        <v>23.94</v>
      </c>
      <c r="V18">
        <f t="shared" ref="V18:V20" si="50">IF(B18="E",1,0)</f>
        <v>0</v>
      </c>
      <c r="W18">
        <f t="shared" ref="W18:W20" si="51">IF(B18=10,1,0)</f>
        <v>0</v>
      </c>
      <c r="AA18" s="8"/>
      <c r="AJ18" s="4"/>
    </row>
    <row r="19" spans="1:36" x14ac:dyDescent="0.25">
      <c r="A19">
        <v>18</v>
      </c>
      <c r="B19">
        <v>9</v>
      </c>
      <c r="C19" t="s">
        <v>55</v>
      </c>
      <c r="D19" s="16" t="s">
        <v>463</v>
      </c>
      <c r="E19" s="16"/>
      <c r="F19">
        <v>8.92</v>
      </c>
      <c r="G19" t="s">
        <v>44</v>
      </c>
      <c r="H19">
        <v>0</v>
      </c>
      <c r="I19">
        <v>12.39</v>
      </c>
      <c r="L19">
        <f>Constants!$B$2</f>
        <v>2.8</v>
      </c>
      <c r="M19" t="str">
        <f t="shared" si="46"/>
        <v>N/A</v>
      </c>
      <c r="N19">
        <f>P19*Constants!$E$2</f>
        <v>0</v>
      </c>
      <c r="P19">
        <f t="shared" si="47"/>
        <v>0</v>
      </c>
      <c r="Q19">
        <f>P19*Constants!$B$3</f>
        <v>0</v>
      </c>
      <c r="R19">
        <f t="shared" si="48"/>
        <v>0</v>
      </c>
      <c r="S19">
        <f t="shared" si="49"/>
        <v>12.39</v>
      </c>
      <c r="T19">
        <f>S19*Constants!$B$2</f>
        <v>34.692</v>
      </c>
      <c r="V19">
        <f t="shared" si="50"/>
        <v>0</v>
      </c>
      <c r="W19">
        <f t="shared" si="51"/>
        <v>0</v>
      </c>
      <c r="AA19" s="8"/>
      <c r="AJ19" s="4"/>
    </row>
    <row r="20" spans="1:36" x14ac:dyDescent="0.25">
      <c r="A20">
        <v>19</v>
      </c>
      <c r="B20">
        <v>9</v>
      </c>
      <c r="C20" t="s">
        <v>50</v>
      </c>
      <c r="D20" s="16" t="s">
        <v>464</v>
      </c>
      <c r="F20">
        <v>12.58</v>
      </c>
      <c r="G20" t="s">
        <v>44</v>
      </c>
      <c r="H20">
        <v>0</v>
      </c>
      <c r="I20">
        <v>16</v>
      </c>
      <c r="L20">
        <f>Constants!$B$2</f>
        <v>2.8</v>
      </c>
      <c r="M20" t="str">
        <f t="shared" ref="M20:M22" si="52">IF(N20&gt;0,G20,"N/A")</f>
        <v>N/A</v>
      </c>
      <c r="N20">
        <f>P20*Constants!$E$2</f>
        <v>0</v>
      </c>
      <c r="P20">
        <f t="shared" si="47"/>
        <v>0</v>
      </c>
      <c r="Q20">
        <f>P20*Constants!$B$3</f>
        <v>0</v>
      </c>
      <c r="R20">
        <f t="shared" si="48"/>
        <v>0</v>
      </c>
      <c r="S20">
        <f t="shared" si="49"/>
        <v>16</v>
      </c>
      <c r="T20">
        <f>S20*Constants!$B$2</f>
        <v>44.8</v>
      </c>
      <c r="V20">
        <f t="shared" si="50"/>
        <v>0</v>
      </c>
      <c r="W20">
        <f t="shared" si="51"/>
        <v>0</v>
      </c>
      <c r="AA20" s="8"/>
      <c r="AJ20" s="4"/>
    </row>
    <row r="21" spans="1:36" x14ac:dyDescent="0.25">
      <c r="A21">
        <v>20</v>
      </c>
      <c r="B21">
        <v>9</v>
      </c>
      <c r="C21" t="s">
        <v>50</v>
      </c>
      <c r="D21" s="16" t="s">
        <v>466</v>
      </c>
      <c r="F21">
        <v>12.58</v>
      </c>
      <c r="G21" t="s">
        <v>44</v>
      </c>
      <c r="H21">
        <v>0</v>
      </c>
      <c r="I21">
        <v>16</v>
      </c>
      <c r="L21">
        <f>Constants!$B$2</f>
        <v>2.8</v>
      </c>
      <c r="M21" t="str">
        <f t="shared" ref="M21" si="53">IF(N21&gt;0,G21,"N/A")</f>
        <v>N/A</v>
      </c>
      <c r="N21">
        <f>P21*Constants!$E$2</f>
        <v>0</v>
      </c>
      <c r="P21">
        <f t="shared" ref="P21" si="54">H21</f>
        <v>0</v>
      </c>
      <c r="Q21">
        <f>P21*Constants!$B$3</f>
        <v>0</v>
      </c>
      <c r="R21">
        <f t="shared" ref="R21" si="55">IF(Q21-N21&lt;=0, 0, Q21-N21)</f>
        <v>0</v>
      </c>
      <c r="S21">
        <f t="shared" ref="S21" si="56">I21-P21</f>
        <v>16</v>
      </c>
      <c r="T21">
        <f>S21*Constants!$B$2</f>
        <v>44.8</v>
      </c>
      <c r="V21">
        <f t="shared" ref="V21" si="57">IF(B21="E",1,0)</f>
        <v>0</v>
      </c>
      <c r="W21">
        <f t="shared" ref="W21" si="58">IF(B21=10,1,0)</f>
        <v>0</v>
      </c>
      <c r="AA21" s="8"/>
      <c r="AJ21" s="4"/>
    </row>
    <row r="22" spans="1:36" x14ac:dyDescent="0.25">
      <c r="A22">
        <v>21</v>
      </c>
      <c r="B22">
        <v>9</v>
      </c>
      <c r="C22" t="s">
        <v>55</v>
      </c>
      <c r="D22" s="16" t="s">
        <v>467</v>
      </c>
      <c r="E22" s="16"/>
      <c r="F22">
        <v>1.48</v>
      </c>
      <c r="G22" t="s">
        <v>44</v>
      </c>
      <c r="H22">
        <v>0</v>
      </c>
      <c r="I22">
        <f>2*1.2*(1+1)</f>
        <v>4.8</v>
      </c>
      <c r="L22">
        <f>Constants!$B$2</f>
        <v>2.8</v>
      </c>
      <c r="M22" t="str">
        <f t="shared" si="52"/>
        <v>N/A</v>
      </c>
      <c r="N22">
        <f>P22*Constants!$E$2</f>
        <v>0</v>
      </c>
      <c r="P22">
        <f t="shared" ref="P22" si="59">H22</f>
        <v>0</v>
      </c>
      <c r="Q22">
        <f>P22*Constants!$B$3</f>
        <v>0</v>
      </c>
      <c r="R22">
        <f t="shared" ref="R22" si="60">IF(Q22-N22&lt;=0, 0, Q22-N22)</f>
        <v>0</v>
      </c>
      <c r="S22">
        <f t="shared" ref="S22" si="61">I22-P22</f>
        <v>4.8</v>
      </c>
      <c r="T22">
        <f>S22*Constants!$B$2</f>
        <v>13.44</v>
      </c>
      <c r="V22">
        <f t="shared" ref="V22" si="62">IF(B22="E",1,0)</f>
        <v>0</v>
      </c>
      <c r="W22">
        <f t="shared" ref="W22" si="63">IF(B22=10,1,0)</f>
        <v>0</v>
      </c>
      <c r="AA22" s="8"/>
      <c r="AJ22" s="4"/>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4"/>
    </row>
    <row r="416" spans="4:4" x14ac:dyDescent="0.25">
      <c r="D416" s="14"/>
    </row>
    <row r="417" spans="4:4" x14ac:dyDescent="0.25">
      <c r="D417" s="13"/>
    </row>
    <row r="418" spans="4:4" x14ac:dyDescent="0.25">
      <c r="D418" s="13"/>
    </row>
    <row r="419" spans="4:4" x14ac:dyDescent="0.25">
      <c r="D419" s="13"/>
    </row>
    <row r="420" spans="4:4" x14ac:dyDescent="0.25">
      <c r="D420" s="13"/>
    </row>
    <row r="421" spans="4:4" x14ac:dyDescent="0.25">
      <c r="D421" s="13"/>
    </row>
    <row r="422" spans="4:4" x14ac:dyDescent="0.25">
      <c r="D422" s="13"/>
    </row>
    <row r="423" spans="4:4" x14ac:dyDescent="0.25">
      <c r="D423" s="13"/>
    </row>
    <row r="424" spans="4:4" x14ac:dyDescent="0.25">
      <c r="D424" s="13"/>
    </row>
  </sheetData>
  <phoneticPr fontId="5" type="noConversion"/>
  <pageMargins left="0.7" right="0.7" top="0.78740157499999996" bottom="0.78740157499999996"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15"/>
  <sheetViews>
    <sheetView zoomScaleNormal="100" workbookViewId="0">
      <pane xSplit="4" ySplit="1" topLeftCell="H2" activePane="bottomRight" state="frozen"/>
      <selection pane="topRight" activeCell="F1" sqref="F1"/>
      <selection pane="bottomLeft" activeCell="A2" sqref="A2"/>
      <selection pane="bottomRight" activeCell="C11" sqref="C11"/>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s="17" t="s">
        <v>62</v>
      </c>
      <c r="D2" s="16" t="s">
        <v>476</v>
      </c>
      <c r="F2">
        <v>83.93</v>
      </c>
      <c r="G2" t="s">
        <v>44</v>
      </c>
      <c r="H2">
        <v>0</v>
      </c>
      <c r="I2">
        <v>70.540000000000006</v>
      </c>
      <c r="L2">
        <f>Constants!$B$2</f>
        <v>2.8</v>
      </c>
      <c r="M2" t="str">
        <f t="shared" ref="M2:M14" si="0">IF(N2&gt;0,G2,"N/A")</f>
        <v>N/A</v>
      </c>
      <c r="N2">
        <f>P2*Constants!$E$2</f>
        <v>0</v>
      </c>
      <c r="P2">
        <f>H2</f>
        <v>0</v>
      </c>
      <c r="Q2">
        <f>P2*Constants!$B$3</f>
        <v>0</v>
      </c>
      <c r="R2">
        <f>IF(Q2-N2&lt;=0, 0, Q2-N2)</f>
        <v>0</v>
      </c>
      <c r="S2">
        <f>I2-P2</f>
        <v>70.540000000000006</v>
      </c>
      <c r="T2">
        <f>S2*Constants!$B$2</f>
        <v>197.512</v>
      </c>
      <c r="V2">
        <f>IF(B2="E",1,0)</f>
        <v>0</v>
      </c>
      <c r="W2">
        <f>IF(B2=10,1,0)</f>
        <v>0</v>
      </c>
      <c r="AA2" s="8"/>
      <c r="AJ2" s="4"/>
    </row>
    <row r="3" spans="1:40" x14ac:dyDescent="0.25">
      <c r="A3">
        <v>2</v>
      </c>
      <c r="B3">
        <v>9</v>
      </c>
      <c r="C3" t="s">
        <v>55</v>
      </c>
      <c r="D3" s="16" t="s">
        <v>477</v>
      </c>
      <c r="F3">
        <v>16.32</v>
      </c>
      <c r="G3" t="s">
        <v>44</v>
      </c>
      <c r="H3">
        <v>0</v>
      </c>
      <c r="I3">
        <v>16.63</v>
      </c>
      <c r="L3">
        <f>Constants!$B$2</f>
        <v>2.8</v>
      </c>
      <c r="M3" t="str">
        <f t="shared" si="0"/>
        <v>N/A</v>
      </c>
      <c r="N3">
        <f>P3*Constants!$E$2</f>
        <v>0</v>
      </c>
      <c r="P3">
        <f t="shared" ref="P3:P14" si="1">H3</f>
        <v>0</v>
      </c>
      <c r="Q3">
        <f>P3*Constants!$B$3</f>
        <v>0</v>
      </c>
      <c r="R3">
        <f t="shared" ref="R3:R14" si="2">IF(Q3-N3&lt;=0, 0, Q3-N3)</f>
        <v>0</v>
      </c>
      <c r="S3">
        <f t="shared" ref="S3:S14" si="3">I3-P3</f>
        <v>16.63</v>
      </c>
      <c r="T3">
        <f>S3*Constants!$B$2</f>
        <v>46.563999999999993</v>
      </c>
      <c r="V3">
        <f t="shared" ref="V3:V14" si="4">IF(B3="E",1,0)</f>
        <v>0</v>
      </c>
      <c r="W3">
        <f t="shared" ref="W3:W14" si="5">IF(B3=10,1,0)</f>
        <v>0</v>
      </c>
      <c r="AA3" s="8"/>
      <c r="AJ3" s="4"/>
    </row>
    <row r="4" spans="1:40" x14ac:dyDescent="0.25">
      <c r="A4">
        <v>3</v>
      </c>
      <c r="B4">
        <v>9</v>
      </c>
      <c r="C4" t="s">
        <v>67</v>
      </c>
      <c r="D4" s="16" t="s">
        <v>478</v>
      </c>
      <c r="E4" s="16"/>
      <c r="F4">
        <v>6.42</v>
      </c>
      <c r="G4" t="s">
        <v>44</v>
      </c>
      <c r="H4">
        <v>0</v>
      </c>
      <c r="I4">
        <v>10.210000000000001</v>
      </c>
      <c r="L4">
        <f>Constants!$B$2</f>
        <v>2.8</v>
      </c>
      <c r="M4" t="str">
        <f t="shared" si="0"/>
        <v>N/A</v>
      </c>
      <c r="N4">
        <f>P4*Constants!$E$2</f>
        <v>0</v>
      </c>
      <c r="P4">
        <f t="shared" si="1"/>
        <v>0</v>
      </c>
      <c r="Q4">
        <f>P4*Constants!$B$3</f>
        <v>0</v>
      </c>
      <c r="R4">
        <f t="shared" si="2"/>
        <v>0</v>
      </c>
      <c r="S4">
        <f t="shared" si="3"/>
        <v>10.210000000000001</v>
      </c>
      <c r="T4">
        <f>S4*Constants!$B$2</f>
        <v>28.588000000000001</v>
      </c>
      <c r="V4">
        <f t="shared" si="4"/>
        <v>0</v>
      </c>
      <c r="W4">
        <f t="shared" si="5"/>
        <v>0</v>
      </c>
      <c r="AA4" s="8"/>
      <c r="AJ4" s="4"/>
    </row>
    <row r="5" spans="1:40" x14ac:dyDescent="0.25">
      <c r="A5">
        <v>4</v>
      </c>
      <c r="B5">
        <v>9</v>
      </c>
      <c r="C5" t="s">
        <v>55</v>
      </c>
      <c r="D5" s="16" t="s">
        <v>486</v>
      </c>
      <c r="E5" s="16" t="s">
        <v>477</v>
      </c>
      <c r="F5">
        <v>2.91</v>
      </c>
      <c r="G5" t="s">
        <v>44</v>
      </c>
      <c r="H5">
        <v>0</v>
      </c>
      <c r="I5">
        <v>7.2</v>
      </c>
      <c r="L5">
        <f>Constants!$B$2</f>
        <v>2.8</v>
      </c>
      <c r="M5" t="str">
        <f t="shared" si="0"/>
        <v>N/A</v>
      </c>
      <c r="N5">
        <f>P5*Constants!$E$2</f>
        <v>0</v>
      </c>
      <c r="P5">
        <f t="shared" si="1"/>
        <v>0</v>
      </c>
      <c r="Q5">
        <f>P5*Constants!$B$3</f>
        <v>0</v>
      </c>
      <c r="R5">
        <f t="shared" si="2"/>
        <v>0</v>
      </c>
      <c r="S5">
        <f t="shared" si="3"/>
        <v>7.2</v>
      </c>
      <c r="T5">
        <f>S5*Constants!$B$2</f>
        <v>20.16</v>
      </c>
      <c r="V5">
        <f t="shared" si="4"/>
        <v>0</v>
      </c>
      <c r="W5">
        <f t="shared" si="5"/>
        <v>0</v>
      </c>
      <c r="AA5" s="8"/>
      <c r="AJ5" s="4"/>
    </row>
    <row r="6" spans="1:40" x14ac:dyDescent="0.25">
      <c r="A6">
        <v>5</v>
      </c>
      <c r="B6">
        <v>9</v>
      </c>
      <c r="C6" t="s">
        <v>55</v>
      </c>
      <c r="D6" s="16" t="s">
        <v>479</v>
      </c>
      <c r="F6">
        <v>6.35</v>
      </c>
      <c r="G6" t="s">
        <v>44</v>
      </c>
      <c r="H6">
        <v>0</v>
      </c>
      <c r="I6">
        <v>10.210000000000001</v>
      </c>
      <c r="L6">
        <f>Constants!$B$2</f>
        <v>2.8</v>
      </c>
      <c r="M6" t="str">
        <f t="shared" si="0"/>
        <v>N/A</v>
      </c>
      <c r="N6">
        <f>P6*Constants!$E$2</f>
        <v>0</v>
      </c>
      <c r="P6">
        <f t="shared" si="1"/>
        <v>0</v>
      </c>
      <c r="Q6">
        <f>P6*Constants!$B$3</f>
        <v>0</v>
      </c>
      <c r="R6">
        <f t="shared" si="2"/>
        <v>0</v>
      </c>
      <c r="S6">
        <f t="shared" si="3"/>
        <v>10.210000000000001</v>
      </c>
      <c r="T6">
        <f>S6*Constants!$B$2</f>
        <v>28.588000000000001</v>
      </c>
      <c r="V6">
        <f t="shared" si="4"/>
        <v>0</v>
      </c>
      <c r="W6">
        <f t="shared" si="5"/>
        <v>0</v>
      </c>
      <c r="AA6" s="8"/>
      <c r="AJ6" s="4"/>
    </row>
    <row r="7" spans="1:40" x14ac:dyDescent="0.25">
      <c r="A7">
        <v>6</v>
      </c>
      <c r="B7">
        <v>9</v>
      </c>
      <c r="C7" t="s">
        <v>55</v>
      </c>
      <c r="D7" s="16" t="s">
        <v>480</v>
      </c>
      <c r="F7">
        <v>10.84</v>
      </c>
      <c r="G7" t="s">
        <v>44</v>
      </c>
      <c r="H7">
        <v>0</v>
      </c>
      <c r="I7">
        <v>13.41</v>
      </c>
      <c r="L7">
        <f>Constants!$B$2</f>
        <v>2.8</v>
      </c>
      <c r="M7" t="str">
        <f t="shared" si="0"/>
        <v>N/A</v>
      </c>
      <c r="N7">
        <f>P7*Constants!$E$2</f>
        <v>0</v>
      </c>
      <c r="P7">
        <f t="shared" si="1"/>
        <v>0</v>
      </c>
      <c r="Q7">
        <f>P7*Constants!$B$3</f>
        <v>0</v>
      </c>
      <c r="R7">
        <f t="shared" si="2"/>
        <v>0</v>
      </c>
      <c r="S7">
        <f t="shared" si="3"/>
        <v>13.41</v>
      </c>
      <c r="T7">
        <f>S7*Constants!$B$2</f>
        <v>37.547999999999995</v>
      </c>
      <c r="V7">
        <f t="shared" si="4"/>
        <v>0</v>
      </c>
      <c r="W7">
        <f t="shared" si="5"/>
        <v>0</v>
      </c>
      <c r="AA7" s="8"/>
      <c r="AJ7" s="4"/>
    </row>
    <row r="8" spans="1:40" x14ac:dyDescent="0.25">
      <c r="A8">
        <v>7</v>
      </c>
      <c r="B8">
        <v>9</v>
      </c>
      <c r="C8" t="s">
        <v>50</v>
      </c>
      <c r="D8" s="16" t="s">
        <v>481</v>
      </c>
      <c r="E8" s="16"/>
      <c r="F8">
        <v>34.07</v>
      </c>
      <c r="G8" t="s">
        <v>44</v>
      </c>
      <c r="H8">
        <v>0</v>
      </c>
      <c r="I8">
        <v>23</v>
      </c>
      <c r="L8">
        <f>Constants!$B$2</f>
        <v>2.8</v>
      </c>
      <c r="M8" t="str">
        <f t="shared" si="0"/>
        <v>N/A</v>
      </c>
      <c r="N8">
        <f>P8*Constants!$E$2</f>
        <v>0</v>
      </c>
      <c r="P8">
        <f t="shared" si="1"/>
        <v>0</v>
      </c>
      <c r="Q8">
        <f>P8*Constants!$B$3</f>
        <v>0</v>
      </c>
      <c r="R8">
        <f t="shared" si="2"/>
        <v>0</v>
      </c>
      <c r="S8">
        <f t="shared" si="3"/>
        <v>23</v>
      </c>
      <c r="T8">
        <f>S8*Constants!$B$2</f>
        <v>64.399999999999991</v>
      </c>
      <c r="V8">
        <f t="shared" si="4"/>
        <v>0</v>
      </c>
      <c r="W8">
        <f t="shared" si="5"/>
        <v>0</v>
      </c>
      <c r="AA8" s="8"/>
      <c r="AJ8" s="4"/>
    </row>
    <row r="9" spans="1:40" x14ac:dyDescent="0.25">
      <c r="A9">
        <v>8</v>
      </c>
      <c r="B9">
        <v>9</v>
      </c>
      <c r="C9" t="s">
        <v>50</v>
      </c>
      <c r="D9" s="16" t="s">
        <v>482</v>
      </c>
      <c r="E9" s="16"/>
      <c r="F9">
        <v>32.72</v>
      </c>
      <c r="G9" t="s">
        <v>44</v>
      </c>
      <c r="H9">
        <v>0</v>
      </c>
      <c r="I9">
        <v>23</v>
      </c>
      <c r="L9">
        <f>Constants!$B$2</f>
        <v>2.8</v>
      </c>
      <c r="M9" t="str">
        <f t="shared" si="0"/>
        <v>N/A</v>
      </c>
      <c r="N9">
        <f>P9*Constants!$E$2</f>
        <v>0</v>
      </c>
      <c r="P9">
        <f t="shared" si="1"/>
        <v>0</v>
      </c>
      <c r="Q9">
        <f>P9*Constants!$B$3</f>
        <v>0</v>
      </c>
      <c r="R9">
        <f t="shared" si="2"/>
        <v>0</v>
      </c>
      <c r="S9">
        <f t="shared" si="3"/>
        <v>23</v>
      </c>
      <c r="T9">
        <f>S9*Constants!$B$2</f>
        <v>64.399999999999991</v>
      </c>
      <c r="V9">
        <f t="shared" si="4"/>
        <v>0</v>
      </c>
      <c r="W9">
        <f t="shared" si="5"/>
        <v>0</v>
      </c>
      <c r="AA9" s="8"/>
      <c r="AJ9" s="4"/>
    </row>
    <row r="10" spans="1:40" x14ac:dyDescent="0.25">
      <c r="A10">
        <v>9</v>
      </c>
      <c r="B10">
        <v>9</v>
      </c>
      <c r="C10" t="s">
        <v>55</v>
      </c>
      <c r="D10" s="16" t="s">
        <v>483</v>
      </c>
      <c r="E10" s="16"/>
      <c r="F10">
        <v>43.47</v>
      </c>
      <c r="G10">
        <v>90</v>
      </c>
      <c r="H10">
        <v>6</v>
      </c>
      <c r="I10">
        <v>26.56</v>
      </c>
      <c r="L10">
        <f>Constants!$B$2</f>
        <v>2.8</v>
      </c>
      <c r="M10">
        <f t="shared" si="0"/>
        <v>90</v>
      </c>
      <c r="N10">
        <f>P10*Constants!$E$2</f>
        <v>10.199999999999999</v>
      </c>
      <c r="P10">
        <f t="shared" si="1"/>
        <v>6</v>
      </c>
      <c r="Q10">
        <f>P10*Constants!$B$3</f>
        <v>25.199999999999996</v>
      </c>
      <c r="R10">
        <f t="shared" si="2"/>
        <v>14.999999999999996</v>
      </c>
      <c r="S10">
        <f t="shared" si="3"/>
        <v>20.56</v>
      </c>
      <c r="T10">
        <f>S10*Constants!$B$2</f>
        <v>57.567999999999991</v>
      </c>
      <c r="V10">
        <f t="shared" si="4"/>
        <v>0</v>
      </c>
      <c r="W10">
        <f t="shared" si="5"/>
        <v>0</v>
      </c>
      <c r="AA10" s="8"/>
      <c r="AJ10" s="4"/>
    </row>
    <row r="11" spans="1:40" x14ac:dyDescent="0.25">
      <c r="A11">
        <v>10</v>
      </c>
      <c r="B11">
        <v>9</v>
      </c>
      <c r="C11" t="s">
        <v>54</v>
      </c>
      <c r="D11" s="16" t="s">
        <v>484</v>
      </c>
      <c r="E11" s="16"/>
      <c r="F11">
        <v>25.54</v>
      </c>
      <c r="G11">
        <v>90</v>
      </c>
      <c r="H11">
        <v>4.8</v>
      </c>
      <c r="I11">
        <v>24.76</v>
      </c>
      <c r="L11">
        <f>Constants!$B$2</f>
        <v>2.8</v>
      </c>
      <c r="M11">
        <f t="shared" si="0"/>
        <v>90</v>
      </c>
      <c r="N11">
        <f>P11*Constants!$E$2</f>
        <v>8.16</v>
      </c>
      <c r="P11">
        <f t="shared" si="1"/>
        <v>4.8</v>
      </c>
      <c r="Q11">
        <f>P11*Constants!$B$3</f>
        <v>20.159999999999997</v>
      </c>
      <c r="R11">
        <f t="shared" si="2"/>
        <v>11.999999999999996</v>
      </c>
      <c r="S11">
        <f t="shared" si="3"/>
        <v>19.96</v>
      </c>
      <c r="T11">
        <f>S11*Constants!$B$2</f>
        <v>55.887999999999998</v>
      </c>
      <c r="V11">
        <f t="shared" si="4"/>
        <v>0</v>
      </c>
      <c r="W11">
        <f t="shared" si="5"/>
        <v>0</v>
      </c>
      <c r="AA11" s="8"/>
      <c r="AJ11" s="4"/>
    </row>
    <row r="12" spans="1:40" x14ac:dyDescent="0.25">
      <c r="A12">
        <v>11</v>
      </c>
      <c r="B12">
        <v>9</v>
      </c>
      <c r="C12" t="s">
        <v>62</v>
      </c>
      <c r="D12" s="16" t="s">
        <v>485</v>
      </c>
      <c r="E12" s="16" t="s">
        <v>484</v>
      </c>
      <c r="F12">
        <v>8.1199999999999992</v>
      </c>
      <c r="G12" t="s">
        <v>44</v>
      </c>
      <c r="H12">
        <v>0</v>
      </c>
      <c r="I12">
        <v>11.4</v>
      </c>
      <c r="L12">
        <f>Constants!$B$2</f>
        <v>2.8</v>
      </c>
      <c r="M12" t="str">
        <f t="shared" si="0"/>
        <v>N/A</v>
      </c>
      <c r="N12">
        <f>P12*Constants!$E$2</f>
        <v>0</v>
      </c>
      <c r="P12">
        <f t="shared" si="1"/>
        <v>0</v>
      </c>
      <c r="Q12">
        <f>P12*Constants!$B$3</f>
        <v>0</v>
      </c>
      <c r="R12">
        <f t="shared" si="2"/>
        <v>0</v>
      </c>
      <c r="S12">
        <f t="shared" si="3"/>
        <v>11.4</v>
      </c>
      <c r="T12">
        <f>S12*Constants!$B$2</f>
        <v>31.919999999999998</v>
      </c>
      <c r="V12">
        <f t="shared" si="4"/>
        <v>0</v>
      </c>
      <c r="W12">
        <f t="shared" si="5"/>
        <v>0</v>
      </c>
      <c r="AA12" s="8"/>
      <c r="AJ12" s="4"/>
    </row>
    <row r="13" spans="1:40" x14ac:dyDescent="0.25">
      <c r="A13">
        <v>12</v>
      </c>
      <c r="B13">
        <v>9</v>
      </c>
      <c r="C13" t="s">
        <v>54</v>
      </c>
      <c r="D13" s="16" t="s">
        <v>487</v>
      </c>
      <c r="E13" s="16" t="s">
        <v>488</v>
      </c>
      <c r="F13">
        <v>9.83</v>
      </c>
      <c r="G13" t="s">
        <v>44</v>
      </c>
      <c r="H13">
        <v>0</v>
      </c>
      <c r="I13">
        <v>12.6</v>
      </c>
      <c r="L13">
        <f>Constants!$B$2</f>
        <v>2.8</v>
      </c>
      <c r="M13" t="str">
        <f t="shared" si="0"/>
        <v>N/A</v>
      </c>
      <c r="N13">
        <f>P13*Constants!$E$2</f>
        <v>0</v>
      </c>
      <c r="P13">
        <f t="shared" si="1"/>
        <v>0</v>
      </c>
      <c r="Q13">
        <f>P13*Constants!$B$3</f>
        <v>0</v>
      </c>
      <c r="R13">
        <f t="shared" si="2"/>
        <v>0</v>
      </c>
      <c r="S13">
        <f t="shared" si="3"/>
        <v>12.6</v>
      </c>
      <c r="T13">
        <f>S13*Constants!$B$2</f>
        <v>35.279999999999994</v>
      </c>
      <c r="V13">
        <f t="shared" si="4"/>
        <v>0</v>
      </c>
      <c r="W13">
        <f t="shared" si="5"/>
        <v>0</v>
      </c>
      <c r="AA13" s="8"/>
      <c r="AJ13" s="4"/>
    </row>
    <row r="14" spans="1:40" x14ac:dyDescent="0.25">
      <c r="A14">
        <v>13</v>
      </c>
      <c r="B14">
        <v>9</v>
      </c>
      <c r="C14" t="s">
        <v>54</v>
      </c>
      <c r="D14" s="16" t="s">
        <v>488</v>
      </c>
      <c r="E14" s="16"/>
      <c r="F14">
        <v>15.27</v>
      </c>
      <c r="G14">
        <v>90</v>
      </c>
      <c r="H14">
        <v>3.6</v>
      </c>
      <c r="I14">
        <v>16.36</v>
      </c>
      <c r="L14">
        <f>Constants!$B$2</f>
        <v>2.8</v>
      </c>
      <c r="M14">
        <f t="shared" si="0"/>
        <v>90</v>
      </c>
      <c r="N14">
        <f>P14*Constants!$E$2</f>
        <v>6.12</v>
      </c>
      <c r="P14">
        <f t="shared" si="1"/>
        <v>3.6</v>
      </c>
      <c r="Q14">
        <f>P14*Constants!$B$3</f>
        <v>15.119999999999997</v>
      </c>
      <c r="R14">
        <f t="shared" si="2"/>
        <v>8.9999999999999964</v>
      </c>
      <c r="S14">
        <f t="shared" si="3"/>
        <v>12.76</v>
      </c>
      <c r="T14">
        <f>S14*Constants!$B$2</f>
        <v>35.727999999999994</v>
      </c>
      <c r="V14">
        <f t="shared" si="4"/>
        <v>0</v>
      </c>
      <c r="W14">
        <f t="shared" si="5"/>
        <v>0</v>
      </c>
      <c r="AA14" s="8"/>
      <c r="AJ14" s="4"/>
    </row>
    <row r="15" spans="1:40" x14ac:dyDescent="0.25">
      <c r="A15">
        <v>14</v>
      </c>
      <c r="B15">
        <v>9</v>
      </c>
      <c r="C15" t="s">
        <v>54</v>
      </c>
      <c r="D15" s="16" t="s">
        <v>489</v>
      </c>
      <c r="E15" s="16"/>
      <c r="F15">
        <v>25.63</v>
      </c>
      <c r="G15">
        <v>90</v>
      </c>
      <c r="H15">
        <v>3.6</v>
      </c>
      <c r="I15">
        <v>21.76</v>
      </c>
      <c r="L15">
        <f>Constants!$B$2</f>
        <v>2.8</v>
      </c>
      <c r="M15">
        <f t="shared" ref="M15" si="6">IF(N15&gt;0,G15,"N/A")</f>
        <v>90</v>
      </c>
      <c r="N15">
        <f>P15*Constants!$E$2</f>
        <v>6.12</v>
      </c>
      <c r="P15">
        <f t="shared" ref="P15" si="7">H15</f>
        <v>3.6</v>
      </c>
      <c r="Q15">
        <f>P15*Constants!$B$3</f>
        <v>15.119999999999997</v>
      </c>
      <c r="R15">
        <f t="shared" ref="R15" si="8">IF(Q15-N15&lt;=0, 0, Q15-N15)</f>
        <v>8.9999999999999964</v>
      </c>
      <c r="S15">
        <f t="shared" ref="S15" si="9">I15-P15</f>
        <v>18.16</v>
      </c>
      <c r="T15">
        <f>S15*Constants!$B$2</f>
        <v>50.847999999999999</v>
      </c>
      <c r="V15">
        <f t="shared" ref="V15" si="10">IF(B15="E",1,0)</f>
        <v>0</v>
      </c>
      <c r="W15">
        <f t="shared" ref="W15" si="11">IF(B15=10,1,0)</f>
        <v>0</v>
      </c>
      <c r="AA15" s="8"/>
      <c r="AJ15" s="4"/>
    </row>
    <row r="16" spans="1:40" x14ac:dyDescent="0.25">
      <c r="A16">
        <v>15</v>
      </c>
      <c r="B16">
        <v>9</v>
      </c>
      <c r="C16" t="s">
        <v>54</v>
      </c>
      <c r="D16" s="16" t="s">
        <v>490</v>
      </c>
      <c r="E16" s="16"/>
      <c r="F16">
        <v>25.63</v>
      </c>
      <c r="G16">
        <v>90</v>
      </c>
      <c r="H16">
        <v>3.6</v>
      </c>
      <c r="I16">
        <v>21.76</v>
      </c>
      <c r="L16">
        <f>Constants!$B$2</f>
        <v>2.8</v>
      </c>
      <c r="M16">
        <f t="shared" ref="M16" si="12">IF(N16&gt;0,G16,"N/A")</f>
        <v>90</v>
      </c>
      <c r="N16">
        <f>P16*Constants!$E$2</f>
        <v>6.12</v>
      </c>
      <c r="P16">
        <f t="shared" ref="P16" si="13">H16</f>
        <v>3.6</v>
      </c>
      <c r="Q16">
        <f>P16*Constants!$B$3</f>
        <v>15.119999999999997</v>
      </c>
      <c r="R16">
        <f t="shared" ref="R16" si="14">IF(Q16-N16&lt;=0, 0, Q16-N16)</f>
        <v>8.9999999999999964</v>
      </c>
      <c r="S16">
        <f t="shared" ref="S16" si="15">I16-P16</f>
        <v>18.16</v>
      </c>
      <c r="T16">
        <f>S16*Constants!$B$2</f>
        <v>50.847999999999999</v>
      </c>
      <c r="V16">
        <f t="shared" ref="V16" si="16">IF(B16="E",1,0)</f>
        <v>0</v>
      </c>
      <c r="W16">
        <f t="shared" ref="W16" si="17">IF(B16=10,1,0)</f>
        <v>0</v>
      </c>
      <c r="AA16" s="8"/>
      <c r="AJ16" s="4"/>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4"/>
    </row>
    <row r="407" spans="4:4" x14ac:dyDescent="0.25">
      <c r="D407" s="14"/>
    </row>
    <row r="408" spans="4:4" x14ac:dyDescent="0.25">
      <c r="D408" s="13"/>
    </row>
    <row r="409" spans="4:4" x14ac:dyDescent="0.25">
      <c r="D409" s="13"/>
    </row>
    <row r="410" spans="4:4" x14ac:dyDescent="0.25">
      <c r="D410" s="13"/>
    </row>
    <row r="411" spans="4:4" x14ac:dyDescent="0.25">
      <c r="D411" s="13"/>
    </row>
    <row r="412" spans="4:4" x14ac:dyDescent="0.25">
      <c r="D412" s="13"/>
    </row>
    <row r="413" spans="4:4" x14ac:dyDescent="0.25">
      <c r="D413" s="13"/>
    </row>
    <row r="414" spans="4:4" x14ac:dyDescent="0.25">
      <c r="D414" s="13"/>
    </row>
    <row r="415" spans="4:4" x14ac:dyDescent="0.25">
      <c r="D415" s="13"/>
    </row>
  </sheetData>
  <phoneticPr fontId="5" type="noConversion"/>
  <pageMargins left="0.7" right="0.7" top="0.78740157499999996" bottom="0.78740157499999996"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08"/>
  <sheetViews>
    <sheetView zoomScaleNormal="100" workbookViewId="0">
      <pane xSplit="4" ySplit="1" topLeftCell="H25" activePane="bottomRight" state="frozen"/>
      <selection pane="topRight" activeCell="F1" sqref="F1"/>
      <selection pane="bottomLeft" activeCell="A2" sqref="A2"/>
      <selection pane="bottomRight" activeCell="C2" sqref="C2:C4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s="17" t="s">
        <v>62</v>
      </c>
      <c r="D2" s="16" t="s">
        <v>491</v>
      </c>
      <c r="F2">
        <v>108.62</v>
      </c>
      <c r="G2" t="s">
        <v>44</v>
      </c>
      <c r="H2">
        <v>0</v>
      </c>
      <c r="I2">
        <f>2*1.2*(2.5+24)</f>
        <v>63.599999999999994</v>
      </c>
      <c r="L2">
        <f>Constants!$B$2</f>
        <v>2.8</v>
      </c>
      <c r="M2" t="str">
        <f t="shared" ref="M2:M17" si="0">IF(N2&gt;0,G2,"N/A")</f>
        <v>N/A</v>
      </c>
      <c r="N2">
        <f>P2*Constants!$E$2</f>
        <v>0</v>
      </c>
      <c r="P2">
        <f>H2</f>
        <v>0</v>
      </c>
      <c r="Q2">
        <f>P2*Constants!$B$3</f>
        <v>0</v>
      </c>
      <c r="R2">
        <f>IF(Q2-N2&lt;=0, 0, Q2-N2)</f>
        <v>0</v>
      </c>
      <c r="S2">
        <f>I2-P2</f>
        <v>63.599999999999994</v>
      </c>
      <c r="T2">
        <f>S2*Constants!$B$2</f>
        <v>178.07999999999998</v>
      </c>
      <c r="V2">
        <f>IF(B2="E",1,0)</f>
        <v>0</v>
      </c>
      <c r="W2">
        <f>IF(B2=10,1,0)</f>
        <v>0</v>
      </c>
      <c r="AA2" s="8"/>
      <c r="AJ2" s="4"/>
    </row>
    <row r="3" spans="1:40" x14ac:dyDescent="0.25">
      <c r="A3">
        <v>2</v>
      </c>
      <c r="B3">
        <v>9</v>
      </c>
      <c r="C3" t="s">
        <v>917</v>
      </c>
      <c r="D3" s="16" t="s">
        <v>492</v>
      </c>
      <c r="F3">
        <v>22.68</v>
      </c>
      <c r="G3">
        <v>270</v>
      </c>
      <c r="H3">
        <v>3.6</v>
      </c>
      <c r="I3">
        <f>2*1.2*(3+5.5)</f>
        <v>20.399999999999999</v>
      </c>
      <c r="L3">
        <f>Constants!$B$2</f>
        <v>2.8</v>
      </c>
      <c r="M3">
        <f t="shared" si="0"/>
        <v>270</v>
      </c>
      <c r="N3">
        <f>P3*Constants!$E$2</f>
        <v>6.12</v>
      </c>
      <c r="P3">
        <f t="shared" ref="P3:P17" si="1">H3</f>
        <v>3.6</v>
      </c>
      <c r="Q3">
        <f>P3*Constants!$B$3</f>
        <v>15.119999999999997</v>
      </c>
      <c r="R3">
        <f t="shared" ref="R3:R17" si="2">IF(Q3-N3&lt;=0, 0, Q3-N3)</f>
        <v>8.9999999999999964</v>
      </c>
      <c r="S3">
        <f t="shared" ref="S3:S17" si="3">I3-P3</f>
        <v>16.799999999999997</v>
      </c>
      <c r="T3">
        <f>S3*Constants!$B$2</f>
        <v>47.039999999999992</v>
      </c>
      <c r="V3">
        <f t="shared" ref="V3:V17" si="4">IF(B3="E",1,0)</f>
        <v>0</v>
      </c>
      <c r="W3">
        <f t="shared" ref="W3:W17" si="5">IF(B3=10,1,0)</f>
        <v>0</v>
      </c>
      <c r="AA3" s="8"/>
      <c r="AJ3" s="4"/>
    </row>
    <row r="4" spans="1:40" x14ac:dyDescent="0.25">
      <c r="A4">
        <v>3</v>
      </c>
      <c r="B4">
        <v>9</v>
      </c>
      <c r="C4" t="s">
        <v>917</v>
      </c>
      <c r="D4" s="16" t="s">
        <v>493</v>
      </c>
      <c r="F4">
        <v>22.68</v>
      </c>
      <c r="G4">
        <v>270</v>
      </c>
      <c r="H4">
        <v>3.6</v>
      </c>
      <c r="I4">
        <f>2*1.2*(3+5.5)</f>
        <v>20.399999999999999</v>
      </c>
      <c r="L4">
        <f>Constants!$B$2</f>
        <v>2.8</v>
      </c>
      <c r="M4">
        <f t="shared" ref="M4" si="6">IF(N4&gt;0,G4,"N/A")</f>
        <v>270</v>
      </c>
      <c r="N4">
        <f>P4*Constants!$E$2</f>
        <v>6.12</v>
      </c>
      <c r="P4">
        <f t="shared" ref="P4" si="7">H4</f>
        <v>3.6</v>
      </c>
      <c r="Q4">
        <f>P4*Constants!$B$3</f>
        <v>15.119999999999997</v>
      </c>
      <c r="R4">
        <f t="shared" ref="R4" si="8">IF(Q4-N4&lt;=0, 0, Q4-N4)</f>
        <v>8.9999999999999964</v>
      </c>
      <c r="S4">
        <f t="shared" ref="S4" si="9">I4-P4</f>
        <v>16.799999999999997</v>
      </c>
      <c r="T4">
        <f>S4*Constants!$B$2</f>
        <v>47.039999999999992</v>
      </c>
      <c r="V4">
        <f t="shared" ref="V4" si="10">IF(B4="E",1,0)</f>
        <v>0</v>
      </c>
      <c r="W4">
        <f t="shared" ref="W4" si="11">IF(B4=10,1,0)</f>
        <v>0</v>
      </c>
      <c r="AA4" s="8"/>
      <c r="AJ4" s="4"/>
    </row>
    <row r="5" spans="1:40" x14ac:dyDescent="0.25">
      <c r="A5">
        <v>4</v>
      </c>
      <c r="B5">
        <v>9</v>
      </c>
      <c r="C5" t="s">
        <v>917</v>
      </c>
      <c r="D5" s="16" t="s">
        <v>494</v>
      </c>
      <c r="F5">
        <v>22.68</v>
      </c>
      <c r="G5">
        <v>270</v>
      </c>
      <c r="H5">
        <v>3.6</v>
      </c>
      <c r="I5">
        <f>2*1.2*(3+5.5)</f>
        <v>20.399999999999999</v>
      </c>
      <c r="L5">
        <f>Constants!$B$2</f>
        <v>2.8</v>
      </c>
      <c r="M5">
        <f t="shared" ref="M5" si="12">IF(N5&gt;0,G5,"N/A")</f>
        <v>270</v>
      </c>
      <c r="N5">
        <f>P5*Constants!$E$2</f>
        <v>6.12</v>
      </c>
      <c r="P5">
        <f t="shared" ref="P5" si="13">H5</f>
        <v>3.6</v>
      </c>
      <c r="Q5">
        <f>P5*Constants!$B$3</f>
        <v>15.119999999999997</v>
      </c>
      <c r="R5">
        <f t="shared" ref="R5" si="14">IF(Q5-N5&lt;=0, 0, Q5-N5)</f>
        <v>8.9999999999999964</v>
      </c>
      <c r="S5">
        <f t="shared" ref="S5" si="15">I5-P5</f>
        <v>16.799999999999997</v>
      </c>
      <c r="T5">
        <f>S5*Constants!$B$2</f>
        <v>47.039999999999992</v>
      </c>
      <c r="V5">
        <f t="shared" ref="V5" si="16">IF(B5="E",1,0)</f>
        <v>0</v>
      </c>
      <c r="W5">
        <f t="shared" ref="W5" si="17">IF(B5=10,1,0)</f>
        <v>0</v>
      </c>
      <c r="AA5" s="8"/>
      <c r="AJ5" s="4"/>
    </row>
    <row r="6" spans="1:40" x14ac:dyDescent="0.25">
      <c r="A6">
        <v>5</v>
      </c>
      <c r="B6">
        <v>9</v>
      </c>
      <c r="C6" t="s">
        <v>917</v>
      </c>
      <c r="D6" s="16" t="s">
        <v>495</v>
      </c>
      <c r="F6">
        <v>18.2</v>
      </c>
      <c r="G6">
        <v>270</v>
      </c>
      <c r="H6">
        <v>3.6</v>
      </c>
      <c r="I6">
        <f>2*1.2*(3+4.5)</f>
        <v>18</v>
      </c>
      <c r="L6">
        <f>Constants!$B$2</f>
        <v>2.8</v>
      </c>
      <c r="M6">
        <f t="shared" ref="M6" si="18">IF(N6&gt;0,G6,"N/A")</f>
        <v>270</v>
      </c>
      <c r="N6">
        <f>P6*Constants!$E$2</f>
        <v>6.12</v>
      </c>
      <c r="P6">
        <f t="shared" ref="P6" si="19">H6</f>
        <v>3.6</v>
      </c>
      <c r="Q6">
        <f>P6*Constants!$B$3</f>
        <v>15.119999999999997</v>
      </c>
      <c r="R6">
        <f t="shared" ref="R6" si="20">IF(Q6-N6&lt;=0, 0, Q6-N6)</f>
        <v>8.9999999999999964</v>
      </c>
      <c r="S6">
        <f t="shared" ref="S6" si="21">I6-P6</f>
        <v>14.4</v>
      </c>
      <c r="T6">
        <f>S6*Constants!$B$2</f>
        <v>40.32</v>
      </c>
      <c r="V6">
        <f t="shared" ref="V6" si="22">IF(B6="E",1,0)</f>
        <v>0</v>
      </c>
      <c r="W6">
        <f t="shared" ref="W6" si="23">IF(B6=10,1,0)</f>
        <v>0</v>
      </c>
      <c r="AA6" s="8"/>
      <c r="AJ6" s="4"/>
    </row>
    <row r="7" spans="1:40" x14ac:dyDescent="0.25">
      <c r="A7">
        <v>6</v>
      </c>
      <c r="B7">
        <v>9</v>
      </c>
      <c r="C7" t="s">
        <v>182</v>
      </c>
      <c r="D7" s="16" t="s">
        <v>496</v>
      </c>
      <c r="F7">
        <v>18.04</v>
      </c>
      <c r="G7" t="s">
        <v>44</v>
      </c>
      <c r="H7">
        <v>0</v>
      </c>
      <c r="I7">
        <f>2*1.2*(4+3)</f>
        <v>16.8</v>
      </c>
      <c r="L7">
        <f>Constants!$B$2</f>
        <v>2.8</v>
      </c>
      <c r="M7" t="str">
        <f t="shared" si="0"/>
        <v>N/A</v>
      </c>
      <c r="N7">
        <f>P7*Constants!$E$2</f>
        <v>0</v>
      </c>
      <c r="P7">
        <f t="shared" si="1"/>
        <v>0</v>
      </c>
      <c r="Q7">
        <f>P7*Constants!$B$3</f>
        <v>0</v>
      </c>
      <c r="R7">
        <f t="shared" si="2"/>
        <v>0</v>
      </c>
      <c r="S7">
        <f t="shared" si="3"/>
        <v>16.8</v>
      </c>
      <c r="T7">
        <f>S7*Constants!$B$2</f>
        <v>47.04</v>
      </c>
      <c r="V7">
        <f t="shared" si="4"/>
        <v>0</v>
      </c>
      <c r="W7">
        <f t="shared" si="5"/>
        <v>0</v>
      </c>
      <c r="AA7" s="8"/>
      <c r="AJ7" s="4"/>
    </row>
    <row r="8" spans="1:40" x14ac:dyDescent="0.25">
      <c r="A8">
        <v>7</v>
      </c>
      <c r="B8">
        <v>9</v>
      </c>
      <c r="C8" t="s">
        <v>64</v>
      </c>
      <c r="D8" s="16" t="s">
        <v>497</v>
      </c>
      <c r="E8" s="16" t="s">
        <v>496</v>
      </c>
      <c r="F8">
        <v>1.83</v>
      </c>
      <c r="G8" t="s">
        <v>44</v>
      </c>
      <c r="H8">
        <v>0</v>
      </c>
      <c r="I8">
        <f>2*1.2*(1.5+1)</f>
        <v>6</v>
      </c>
      <c r="L8">
        <f>Constants!$B$2</f>
        <v>2.8</v>
      </c>
      <c r="M8" t="str">
        <f t="shared" si="0"/>
        <v>N/A</v>
      </c>
      <c r="N8">
        <f>P8*Constants!$E$2</f>
        <v>0</v>
      </c>
      <c r="P8">
        <f t="shared" si="1"/>
        <v>0</v>
      </c>
      <c r="Q8">
        <f>P8*Constants!$B$3</f>
        <v>0</v>
      </c>
      <c r="R8">
        <f t="shared" si="2"/>
        <v>0</v>
      </c>
      <c r="S8">
        <f t="shared" si="3"/>
        <v>6</v>
      </c>
      <c r="T8">
        <f>S8*Constants!$B$2</f>
        <v>16.799999999999997</v>
      </c>
      <c r="V8">
        <f t="shared" si="4"/>
        <v>0</v>
      </c>
      <c r="W8">
        <f t="shared" si="5"/>
        <v>0</v>
      </c>
      <c r="AA8" s="8"/>
      <c r="AJ8" s="4"/>
    </row>
    <row r="9" spans="1:40" x14ac:dyDescent="0.25">
      <c r="A9">
        <v>8</v>
      </c>
      <c r="B9">
        <v>9</v>
      </c>
      <c r="C9" t="s">
        <v>64</v>
      </c>
      <c r="D9" s="16" t="s">
        <v>498</v>
      </c>
      <c r="E9" s="16" t="s">
        <v>491</v>
      </c>
      <c r="F9">
        <v>1.83</v>
      </c>
      <c r="G9" t="s">
        <v>44</v>
      </c>
      <c r="H9">
        <v>0</v>
      </c>
      <c r="I9">
        <f>2*1.2*(1.5+1)</f>
        <v>6</v>
      </c>
      <c r="L9">
        <f>Constants!$B$2</f>
        <v>2.8</v>
      </c>
      <c r="M9" t="str">
        <f t="shared" ref="M9" si="24">IF(N9&gt;0,G9,"N/A")</f>
        <v>N/A</v>
      </c>
      <c r="N9">
        <f>P9*Constants!$E$2</f>
        <v>0</v>
      </c>
      <c r="P9">
        <f t="shared" ref="P9" si="25">H9</f>
        <v>0</v>
      </c>
      <c r="Q9">
        <f>P9*Constants!$B$3</f>
        <v>0</v>
      </c>
      <c r="R9">
        <f t="shared" ref="R9" si="26">IF(Q9-N9&lt;=0, 0, Q9-N9)</f>
        <v>0</v>
      </c>
      <c r="S9">
        <f t="shared" ref="S9" si="27">I9-P9</f>
        <v>6</v>
      </c>
      <c r="T9">
        <f>S9*Constants!$B$2</f>
        <v>16.799999999999997</v>
      </c>
      <c r="V9">
        <f t="shared" ref="V9" si="28">IF(B9="E",1,0)</f>
        <v>0</v>
      </c>
      <c r="W9">
        <f t="shared" ref="W9" si="29">IF(B9=10,1,0)</f>
        <v>0</v>
      </c>
      <c r="AA9" s="8"/>
      <c r="AJ9" s="4"/>
    </row>
    <row r="10" spans="1:40" x14ac:dyDescent="0.25">
      <c r="A10">
        <v>9</v>
      </c>
      <c r="B10">
        <v>9</v>
      </c>
      <c r="C10" t="s">
        <v>73</v>
      </c>
      <c r="D10" s="16" t="s">
        <v>499</v>
      </c>
      <c r="E10" s="16"/>
      <c r="F10">
        <v>15.56</v>
      </c>
      <c r="G10" t="s">
        <v>44</v>
      </c>
      <c r="H10">
        <v>0</v>
      </c>
      <c r="I10">
        <f>2*1.2*(3+4)</f>
        <v>16.8</v>
      </c>
      <c r="L10">
        <f>Constants!$B$2</f>
        <v>2.8</v>
      </c>
      <c r="M10" t="str">
        <f t="shared" si="0"/>
        <v>N/A</v>
      </c>
      <c r="N10">
        <f>P10*Constants!$E$2</f>
        <v>0</v>
      </c>
      <c r="P10">
        <f t="shared" si="1"/>
        <v>0</v>
      </c>
      <c r="Q10">
        <f>P10*Constants!$B$3</f>
        <v>0</v>
      </c>
      <c r="R10">
        <f t="shared" si="2"/>
        <v>0</v>
      </c>
      <c r="S10">
        <f t="shared" si="3"/>
        <v>16.8</v>
      </c>
      <c r="T10">
        <f>S10*Constants!$B$2</f>
        <v>47.04</v>
      </c>
      <c r="V10">
        <f t="shared" si="4"/>
        <v>0</v>
      </c>
      <c r="W10">
        <f t="shared" si="5"/>
        <v>0</v>
      </c>
      <c r="AA10" s="8"/>
      <c r="AJ10" s="4"/>
    </row>
    <row r="11" spans="1:40" x14ac:dyDescent="0.25">
      <c r="A11">
        <v>10</v>
      </c>
      <c r="B11">
        <v>9</v>
      </c>
      <c r="C11" t="s">
        <v>75</v>
      </c>
      <c r="D11" s="16" t="s">
        <v>500</v>
      </c>
      <c r="F11">
        <v>4.7</v>
      </c>
      <c r="G11" t="s">
        <v>44</v>
      </c>
      <c r="H11">
        <v>0</v>
      </c>
      <c r="I11">
        <f>2*1.2*(2.5+1.5)</f>
        <v>9.6</v>
      </c>
      <c r="L11">
        <f>Constants!$B$2</f>
        <v>2.8</v>
      </c>
      <c r="M11" t="str">
        <f t="shared" si="0"/>
        <v>N/A</v>
      </c>
      <c r="N11">
        <f>P11*Constants!$E$2</f>
        <v>0</v>
      </c>
      <c r="P11">
        <f t="shared" si="1"/>
        <v>0</v>
      </c>
      <c r="Q11">
        <f>P11*Constants!$B$3</f>
        <v>0</v>
      </c>
      <c r="R11">
        <f t="shared" si="2"/>
        <v>0</v>
      </c>
      <c r="S11">
        <f t="shared" si="3"/>
        <v>9.6</v>
      </c>
      <c r="T11">
        <f>S11*Constants!$B$2</f>
        <v>26.88</v>
      </c>
      <c r="V11">
        <f t="shared" si="4"/>
        <v>0</v>
      </c>
      <c r="W11">
        <f t="shared" si="5"/>
        <v>0</v>
      </c>
      <c r="AA11" s="8"/>
      <c r="AJ11" s="4"/>
    </row>
    <row r="12" spans="1:40" x14ac:dyDescent="0.25">
      <c r="A12">
        <v>11</v>
      </c>
      <c r="B12">
        <v>9</v>
      </c>
      <c r="C12" t="s">
        <v>59</v>
      </c>
      <c r="D12" s="16" t="s">
        <v>501</v>
      </c>
      <c r="E12" s="16"/>
      <c r="F12">
        <v>9.83</v>
      </c>
      <c r="G12" t="s">
        <v>44</v>
      </c>
      <c r="H12">
        <v>0</v>
      </c>
      <c r="I12">
        <f>2*1.2*(3+2.5)</f>
        <v>13.2</v>
      </c>
      <c r="L12">
        <f>Constants!$B$2</f>
        <v>2.8</v>
      </c>
      <c r="M12" t="str">
        <f t="shared" si="0"/>
        <v>N/A</v>
      </c>
      <c r="N12">
        <f>P12*Constants!$E$2</f>
        <v>0</v>
      </c>
      <c r="P12">
        <f t="shared" si="1"/>
        <v>0</v>
      </c>
      <c r="Q12">
        <f>P12*Constants!$B$3</f>
        <v>0</v>
      </c>
      <c r="R12">
        <f t="shared" si="2"/>
        <v>0</v>
      </c>
      <c r="S12">
        <f t="shared" si="3"/>
        <v>13.2</v>
      </c>
      <c r="T12">
        <f>S12*Constants!$B$2</f>
        <v>36.959999999999994</v>
      </c>
      <c r="V12">
        <f t="shared" si="4"/>
        <v>0</v>
      </c>
      <c r="W12">
        <f t="shared" si="5"/>
        <v>0</v>
      </c>
      <c r="AA12" s="8"/>
      <c r="AJ12" s="4"/>
    </row>
    <row r="13" spans="1:40" x14ac:dyDescent="0.25">
      <c r="A13">
        <v>12</v>
      </c>
      <c r="B13">
        <v>9</v>
      </c>
      <c r="C13" t="s">
        <v>75</v>
      </c>
      <c r="D13" s="16" t="s">
        <v>502</v>
      </c>
      <c r="F13">
        <v>1.83</v>
      </c>
      <c r="G13" t="s">
        <v>44</v>
      </c>
      <c r="H13">
        <v>0</v>
      </c>
      <c r="I13">
        <f>2*1.2*(1.5+1)</f>
        <v>6</v>
      </c>
      <c r="L13">
        <f>Constants!$B$2</f>
        <v>2.8</v>
      </c>
      <c r="M13" t="str">
        <f t="shared" si="0"/>
        <v>N/A</v>
      </c>
      <c r="N13">
        <f>P13*Constants!$E$2</f>
        <v>0</v>
      </c>
      <c r="P13">
        <f t="shared" si="1"/>
        <v>0</v>
      </c>
      <c r="Q13">
        <f>P13*Constants!$B$3</f>
        <v>0</v>
      </c>
      <c r="R13">
        <f t="shared" si="2"/>
        <v>0</v>
      </c>
      <c r="S13">
        <f t="shared" si="3"/>
        <v>6</v>
      </c>
      <c r="T13">
        <f>S13*Constants!$B$2</f>
        <v>16.799999999999997</v>
      </c>
      <c r="V13">
        <f t="shared" si="4"/>
        <v>0</v>
      </c>
      <c r="W13">
        <f t="shared" si="5"/>
        <v>0</v>
      </c>
      <c r="AA13" s="8"/>
      <c r="AJ13" s="4"/>
    </row>
    <row r="14" spans="1:40" x14ac:dyDescent="0.25">
      <c r="A14">
        <v>13</v>
      </c>
      <c r="B14">
        <v>9</v>
      </c>
      <c r="C14" t="s">
        <v>182</v>
      </c>
      <c r="D14" s="16" t="s">
        <v>503</v>
      </c>
      <c r="E14" s="16"/>
      <c r="F14">
        <v>13.85</v>
      </c>
      <c r="G14" t="s">
        <v>44</v>
      </c>
      <c r="H14">
        <v>0</v>
      </c>
      <c r="I14">
        <f>2*1.2*(3+3)</f>
        <v>14.399999999999999</v>
      </c>
      <c r="L14">
        <f>Constants!$B$2</f>
        <v>2.8</v>
      </c>
      <c r="M14" t="str">
        <f t="shared" si="0"/>
        <v>N/A</v>
      </c>
      <c r="N14">
        <f>P14*Constants!$E$2</f>
        <v>0</v>
      </c>
      <c r="P14">
        <f t="shared" si="1"/>
        <v>0</v>
      </c>
      <c r="Q14">
        <f>P14*Constants!$B$3</f>
        <v>0</v>
      </c>
      <c r="R14">
        <f t="shared" si="2"/>
        <v>0</v>
      </c>
      <c r="S14">
        <f t="shared" si="3"/>
        <v>14.399999999999999</v>
      </c>
      <c r="T14">
        <f>S14*Constants!$B$2</f>
        <v>40.319999999999993</v>
      </c>
      <c r="V14">
        <f t="shared" si="4"/>
        <v>0</v>
      </c>
      <c r="W14">
        <f t="shared" si="5"/>
        <v>0</v>
      </c>
      <c r="AA14" s="8"/>
      <c r="AJ14" s="4"/>
    </row>
    <row r="15" spans="1:40" x14ac:dyDescent="0.25">
      <c r="A15">
        <v>14</v>
      </c>
      <c r="B15">
        <v>9</v>
      </c>
      <c r="C15" t="s">
        <v>64</v>
      </c>
      <c r="D15" s="16" t="s">
        <v>504</v>
      </c>
      <c r="E15" s="16" t="s">
        <v>503</v>
      </c>
      <c r="F15">
        <v>1.83</v>
      </c>
      <c r="G15" t="s">
        <v>44</v>
      </c>
      <c r="H15">
        <v>0</v>
      </c>
      <c r="I15">
        <f>2*1.2*(1.5+1)</f>
        <v>6</v>
      </c>
      <c r="L15">
        <f>Constants!$B$2</f>
        <v>2.8</v>
      </c>
      <c r="M15" t="str">
        <f t="shared" si="0"/>
        <v>N/A</v>
      </c>
      <c r="N15">
        <f>P15*Constants!$E$2</f>
        <v>0</v>
      </c>
      <c r="P15">
        <f t="shared" si="1"/>
        <v>0</v>
      </c>
      <c r="Q15">
        <f>P15*Constants!$B$3</f>
        <v>0</v>
      </c>
      <c r="R15">
        <f t="shared" si="2"/>
        <v>0</v>
      </c>
      <c r="S15">
        <f t="shared" si="3"/>
        <v>6</v>
      </c>
      <c r="T15">
        <f>S15*Constants!$B$2</f>
        <v>16.799999999999997</v>
      </c>
      <c r="V15">
        <f t="shared" si="4"/>
        <v>0</v>
      </c>
      <c r="W15">
        <f t="shared" si="5"/>
        <v>0</v>
      </c>
      <c r="AA15" s="8"/>
      <c r="AJ15" s="4"/>
    </row>
    <row r="16" spans="1:40" x14ac:dyDescent="0.25">
      <c r="A16">
        <v>15</v>
      </c>
      <c r="B16">
        <v>9</v>
      </c>
      <c r="C16" t="s">
        <v>45</v>
      </c>
      <c r="D16" s="16" t="s">
        <v>505</v>
      </c>
      <c r="E16" s="16"/>
      <c r="F16">
        <v>20.32</v>
      </c>
      <c r="G16" t="s">
        <v>44</v>
      </c>
      <c r="H16">
        <v>0</v>
      </c>
      <c r="I16">
        <f>2*1.2*(6+3)</f>
        <v>21.599999999999998</v>
      </c>
      <c r="L16">
        <f>Constants!$B$2</f>
        <v>2.8</v>
      </c>
      <c r="M16" t="str">
        <f t="shared" si="0"/>
        <v>N/A</v>
      </c>
      <c r="N16">
        <f>P16*Constants!$E$2</f>
        <v>0</v>
      </c>
      <c r="P16">
        <f t="shared" si="1"/>
        <v>0</v>
      </c>
      <c r="Q16">
        <f>P16*Constants!$B$3</f>
        <v>0</v>
      </c>
      <c r="R16">
        <f t="shared" si="2"/>
        <v>0</v>
      </c>
      <c r="S16">
        <f t="shared" si="3"/>
        <v>21.599999999999998</v>
      </c>
      <c r="T16">
        <f>S16*Constants!$B$2</f>
        <v>60.47999999999999</v>
      </c>
      <c r="V16">
        <f t="shared" si="4"/>
        <v>0</v>
      </c>
      <c r="W16">
        <f t="shared" si="5"/>
        <v>0</v>
      </c>
      <c r="AA16" s="8"/>
      <c r="AJ16" s="4"/>
    </row>
    <row r="17" spans="1:36" x14ac:dyDescent="0.25">
      <c r="A17">
        <v>16</v>
      </c>
      <c r="B17">
        <v>9</v>
      </c>
      <c r="C17" t="s">
        <v>917</v>
      </c>
      <c r="D17" s="16" t="s">
        <v>506</v>
      </c>
      <c r="F17">
        <v>20.68</v>
      </c>
      <c r="G17" t="s">
        <v>44</v>
      </c>
      <c r="H17">
        <v>0</v>
      </c>
      <c r="I17">
        <f>2*1.2*(3+5)</f>
        <v>19.2</v>
      </c>
      <c r="L17">
        <f>Constants!$B$2</f>
        <v>2.8</v>
      </c>
      <c r="M17" t="str">
        <f t="shared" si="0"/>
        <v>N/A</v>
      </c>
      <c r="N17">
        <f>P17*Constants!$E$2</f>
        <v>0</v>
      </c>
      <c r="P17">
        <f t="shared" si="1"/>
        <v>0</v>
      </c>
      <c r="Q17">
        <f>P17*Constants!$B$3</f>
        <v>0</v>
      </c>
      <c r="R17">
        <f t="shared" si="2"/>
        <v>0</v>
      </c>
      <c r="S17">
        <f t="shared" si="3"/>
        <v>19.2</v>
      </c>
      <c r="T17">
        <f>S17*Constants!$B$2</f>
        <v>53.76</v>
      </c>
      <c r="V17">
        <f t="shared" si="4"/>
        <v>0</v>
      </c>
      <c r="W17">
        <f t="shared" si="5"/>
        <v>0</v>
      </c>
      <c r="AA17" s="8"/>
      <c r="AJ17" s="4"/>
    </row>
    <row r="18" spans="1:36" x14ac:dyDescent="0.25">
      <c r="A18">
        <v>17</v>
      </c>
      <c r="B18">
        <v>9</v>
      </c>
      <c r="C18" t="s">
        <v>917</v>
      </c>
      <c r="D18" s="16" t="s">
        <v>507</v>
      </c>
      <c r="F18">
        <v>20.68</v>
      </c>
      <c r="G18" t="s">
        <v>44</v>
      </c>
      <c r="H18">
        <v>0</v>
      </c>
      <c r="I18">
        <f>2*1.2*(3+5)</f>
        <v>19.2</v>
      </c>
      <c r="L18">
        <f>Constants!$B$2</f>
        <v>2.8</v>
      </c>
      <c r="M18" t="str">
        <f t="shared" ref="M18" si="30">IF(N18&gt;0,G18,"N/A")</f>
        <v>N/A</v>
      </c>
      <c r="N18">
        <f>P18*Constants!$E$2</f>
        <v>0</v>
      </c>
      <c r="P18">
        <f t="shared" ref="P18" si="31">H18</f>
        <v>0</v>
      </c>
      <c r="Q18">
        <f>P18*Constants!$B$3</f>
        <v>0</v>
      </c>
      <c r="R18">
        <f t="shared" ref="R18" si="32">IF(Q18-N18&lt;=0, 0, Q18-N18)</f>
        <v>0</v>
      </c>
      <c r="S18">
        <f t="shared" ref="S18" si="33">I18-P18</f>
        <v>19.2</v>
      </c>
      <c r="T18">
        <f>S18*Constants!$B$2</f>
        <v>53.76</v>
      </c>
      <c r="V18">
        <f t="shared" ref="V18" si="34">IF(B18="E",1,0)</f>
        <v>0</v>
      </c>
      <c r="W18">
        <f t="shared" ref="W18" si="35">IF(B18=10,1,0)</f>
        <v>0</v>
      </c>
      <c r="AA18" s="8"/>
      <c r="AJ18" s="4"/>
    </row>
    <row r="19" spans="1:36" x14ac:dyDescent="0.25">
      <c r="A19">
        <v>18</v>
      </c>
      <c r="B19">
        <v>9</v>
      </c>
      <c r="C19" t="s">
        <v>917</v>
      </c>
      <c r="D19" s="16" t="s">
        <v>508</v>
      </c>
      <c r="F19">
        <v>20.68</v>
      </c>
      <c r="G19" t="s">
        <v>44</v>
      </c>
      <c r="H19">
        <v>0</v>
      </c>
      <c r="I19">
        <f>2*1.2*(3+5)</f>
        <v>19.2</v>
      </c>
      <c r="L19">
        <f>Constants!$B$2</f>
        <v>2.8</v>
      </c>
      <c r="M19" t="str">
        <f t="shared" ref="M19" si="36">IF(N19&gt;0,G19,"N/A")</f>
        <v>N/A</v>
      </c>
      <c r="N19">
        <f>P19*Constants!$E$2</f>
        <v>0</v>
      </c>
      <c r="P19">
        <f t="shared" ref="P19" si="37">H19</f>
        <v>0</v>
      </c>
      <c r="Q19">
        <f>P19*Constants!$B$3</f>
        <v>0</v>
      </c>
      <c r="R19">
        <f t="shared" ref="R19" si="38">IF(Q19-N19&lt;=0, 0, Q19-N19)</f>
        <v>0</v>
      </c>
      <c r="S19">
        <f t="shared" ref="S19" si="39">I19-P19</f>
        <v>19.2</v>
      </c>
      <c r="T19">
        <f>S19*Constants!$B$2</f>
        <v>53.76</v>
      </c>
      <c r="V19">
        <f t="shared" ref="V19" si="40">IF(B19="E",1,0)</f>
        <v>0</v>
      </c>
      <c r="W19">
        <f t="shared" ref="W19" si="41">IF(B19=10,1,0)</f>
        <v>0</v>
      </c>
      <c r="AA19" s="8"/>
      <c r="AJ19" s="4"/>
    </row>
    <row r="20" spans="1:36" x14ac:dyDescent="0.25">
      <c r="A20">
        <v>19</v>
      </c>
      <c r="B20">
        <v>9</v>
      </c>
      <c r="C20" t="s">
        <v>55</v>
      </c>
      <c r="D20" s="16" t="s">
        <v>509</v>
      </c>
      <c r="F20">
        <v>19.46</v>
      </c>
      <c r="G20" t="s">
        <v>44</v>
      </c>
      <c r="H20">
        <v>0</v>
      </c>
      <c r="I20">
        <f>2*1.2*(3.5+4.5)</f>
        <v>19.2</v>
      </c>
      <c r="L20">
        <f>Constants!$B$2</f>
        <v>2.8</v>
      </c>
      <c r="M20" t="str">
        <f t="shared" ref="M20:M23" si="42">IF(N20&gt;0,G20,"N/A")</f>
        <v>N/A</v>
      </c>
      <c r="N20">
        <f>P20*Constants!$E$2</f>
        <v>0</v>
      </c>
      <c r="P20">
        <f t="shared" ref="P20:P23" si="43">H20</f>
        <v>0</v>
      </c>
      <c r="Q20">
        <f>P20*Constants!$B$3</f>
        <v>0</v>
      </c>
      <c r="R20">
        <f t="shared" ref="R20:R23" si="44">IF(Q20-N20&lt;=0, 0, Q20-N20)</f>
        <v>0</v>
      </c>
      <c r="S20">
        <f t="shared" ref="S20:S23" si="45">I20-P20</f>
        <v>19.2</v>
      </c>
      <c r="T20">
        <f>S20*Constants!$B$2</f>
        <v>53.76</v>
      </c>
      <c r="V20">
        <f t="shared" ref="V20:V23" si="46">IF(B20="E",1,0)</f>
        <v>0</v>
      </c>
      <c r="W20">
        <f t="shared" ref="W20:W23" si="47">IF(B20=10,1,0)</f>
        <v>0</v>
      </c>
      <c r="AA20" s="8"/>
      <c r="AJ20" s="4"/>
    </row>
    <row r="21" spans="1:36" x14ac:dyDescent="0.25">
      <c r="A21">
        <v>20</v>
      </c>
      <c r="B21">
        <v>9</v>
      </c>
      <c r="C21" t="s">
        <v>54</v>
      </c>
      <c r="D21" s="16" t="s">
        <v>510</v>
      </c>
      <c r="F21">
        <v>8.1199999999999992</v>
      </c>
      <c r="G21" t="s">
        <v>44</v>
      </c>
      <c r="H21">
        <v>0</v>
      </c>
      <c r="I21">
        <f>2*1.2*(2.5+2.5)</f>
        <v>12</v>
      </c>
      <c r="L21">
        <f>Constants!$B$2</f>
        <v>2.8</v>
      </c>
      <c r="M21" t="str">
        <f t="shared" si="42"/>
        <v>N/A</v>
      </c>
      <c r="N21">
        <f>P21*Constants!$E$2</f>
        <v>0</v>
      </c>
      <c r="P21">
        <f t="shared" si="43"/>
        <v>0</v>
      </c>
      <c r="Q21">
        <f>P21*Constants!$B$3</f>
        <v>0</v>
      </c>
      <c r="R21">
        <f t="shared" si="44"/>
        <v>0</v>
      </c>
      <c r="S21">
        <f t="shared" si="45"/>
        <v>12</v>
      </c>
      <c r="T21">
        <f>S21*Constants!$B$2</f>
        <v>33.599999999999994</v>
      </c>
      <c r="V21">
        <f t="shared" si="46"/>
        <v>0</v>
      </c>
      <c r="W21">
        <f t="shared" si="47"/>
        <v>0</v>
      </c>
      <c r="AA21" s="8"/>
      <c r="AJ21" s="4"/>
    </row>
    <row r="22" spans="1:36" x14ac:dyDescent="0.25">
      <c r="A22">
        <v>21</v>
      </c>
      <c r="B22">
        <v>9</v>
      </c>
      <c r="C22" t="s">
        <v>75</v>
      </c>
      <c r="D22" s="16" t="s">
        <v>511</v>
      </c>
      <c r="F22">
        <v>7.9</v>
      </c>
      <c r="G22" t="s">
        <v>44</v>
      </c>
      <c r="H22">
        <v>0</v>
      </c>
      <c r="I22">
        <f>2*1.2*(2+3)</f>
        <v>12</v>
      </c>
      <c r="L22">
        <f>Constants!$B$2</f>
        <v>2.8</v>
      </c>
      <c r="M22" t="str">
        <f t="shared" si="42"/>
        <v>N/A</v>
      </c>
      <c r="N22">
        <f>P22*Constants!$E$2</f>
        <v>0</v>
      </c>
      <c r="P22">
        <f t="shared" si="43"/>
        <v>0</v>
      </c>
      <c r="Q22">
        <f>P22*Constants!$B$3</f>
        <v>0</v>
      </c>
      <c r="R22">
        <f t="shared" si="44"/>
        <v>0</v>
      </c>
      <c r="S22">
        <f t="shared" si="45"/>
        <v>12</v>
      </c>
      <c r="T22">
        <f>S22*Constants!$B$2</f>
        <v>33.599999999999994</v>
      </c>
      <c r="V22">
        <f t="shared" si="46"/>
        <v>0</v>
      </c>
      <c r="W22">
        <f t="shared" si="47"/>
        <v>0</v>
      </c>
      <c r="AA22" s="8"/>
      <c r="AJ22" s="4"/>
    </row>
    <row r="23" spans="1:36" x14ac:dyDescent="0.25">
      <c r="A23">
        <v>22</v>
      </c>
      <c r="B23">
        <v>9</v>
      </c>
      <c r="C23" t="s">
        <v>54</v>
      </c>
      <c r="D23" s="16" t="s">
        <v>512</v>
      </c>
      <c r="F23">
        <v>16.170000000000002</v>
      </c>
      <c r="G23" t="s">
        <v>44</v>
      </c>
      <c r="H23">
        <v>0</v>
      </c>
      <c r="I23">
        <f>2*1.2*(4.5+3)</f>
        <v>18</v>
      </c>
      <c r="L23">
        <f>Constants!$B$2</f>
        <v>2.8</v>
      </c>
      <c r="M23" t="str">
        <f t="shared" si="42"/>
        <v>N/A</v>
      </c>
      <c r="N23">
        <f>P23*Constants!$E$2</f>
        <v>0</v>
      </c>
      <c r="P23">
        <f t="shared" si="43"/>
        <v>0</v>
      </c>
      <c r="Q23">
        <f>P23*Constants!$B$3</f>
        <v>0</v>
      </c>
      <c r="R23">
        <f t="shared" si="44"/>
        <v>0</v>
      </c>
      <c r="S23">
        <f t="shared" si="45"/>
        <v>18</v>
      </c>
      <c r="T23">
        <f>S23*Constants!$B$2</f>
        <v>50.4</v>
      </c>
      <c r="V23">
        <f t="shared" si="46"/>
        <v>0</v>
      </c>
      <c r="W23">
        <f t="shared" si="47"/>
        <v>0</v>
      </c>
      <c r="AA23" s="8"/>
      <c r="AJ23" s="4"/>
    </row>
    <row r="24" spans="1:36" x14ac:dyDescent="0.25">
      <c r="A24">
        <v>23</v>
      </c>
      <c r="B24">
        <v>9</v>
      </c>
      <c r="C24" t="s">
        <v>185</v>
      </c>
      <c r="D24" s="16" t="s">
        <v>513</v>
      </c>
      <c r="F24">
        <v>35.78</v>
      </c>
      <c r="G24" t="s">
        <v>44</v>
      </c>
      <c r="H24">
        <v>0</v>
      </c>
      <c r="I24">
        <f>2*1.2*(4.5+6.5)</f>
        <v>26.4</v>
      </c>
      <c r="L24">
        <f>Constants!$B$2</f>
        <v>2.8</v>
      </c>
      <c r="M24" t="str">
        <f t="shared" ref="M24:M25" si="48">IF(N24&gt;0,G24,"N/A")</f>
        <v>N/A</v>
      </c>
      <c r="N24">
        <f>P24*Constants!$E$2</f>
        <v>0</v>
      </c>
      <c r="P24">
        <f t="shared" ref="P24:P25" si="49">H24</f>
        <v>0</v>
      </c>
      <c r="Q24">
        <f>P24*Constants!$B$3</f>
        <v>0</v>
      </c>
      <c r="R24">
        <f t="shared" ref="R24:R25" si="50">IF(Q24-N24&lt;=0, 0, Q24-N24)</f>
        <v>0</v>
      </c>
      <c r="S24">
        <f t="shared" ref="S24:S25" si="51">I24-P24</f>
        <v>26.4</v>
      </c>
      <c r="T24">
        <f>S24*Constants!$B$2</f>
        <v>73.919999999999987</v>
      </c>
      <c r="V24">
        <f t="shared" ref="V24:V25" si="52">IF(B24="E",1,0)</f>
        <v>0</v>
      </c>
      <c r="W24">
        <f t="shared" ref="W24:W25" si="53">IF(B24=10,1,0)</f>
        <v>0</v>
      </c>
      <c r="AA24" s="8"/>
      <c r="AJ24" s="4"/>
    </row>
    <row r="25" spans="1:36" x14ac:dyDescent="0.25">
      <c r="A25">
        <v>24</v>
      </c>
      <c r="B25">
        <v>9</v>
      </c>
      <c r="C25" t="s">
        <v>917</v>
      </c>
      <c r="D25" s="16" t="s">
        <v>514</v>
      </c>
      <c r="F25">
        <v>20.68</v>
      </c>
      <c r="G25" t="s">
        <v>44</v>
      </c>
      <c r="H25">
        <v>0</v>
      </c>
      <c r="I25">
        <f>2*1.2*(3+5)</f>
        <v>19.2</v>
      </c>
      <c r="L25">
        <f>Constants!$B$2</f>
        <v>2.8</v>
      </c>
      <c r="M25" t="str">
        <f t="shared" si="48"/>
        <v>N/A</v>
      </c>
      <c r="N25">
        <f>P25*Constants!$E$2</f>
        <v>0</v>
      </c>
      <c r="P25">
        <f t="shared" si="49"/>
        <v>0</v>
      </c>
      <c r="Q25">
        <f>P25*Constants!$B$3</f>
        <v>0</v>
      </c>
      <c r="R25">
        <f t="shared" si="50"/>
        <v>0</v>
      </c>
      <c r="S25">
        <f t="shared" si="51"/>
        <v>19.2</v>
      </c>
      <c r="T25">
        <f>S25*Constants!$B$2</f>
        <v>53.76</v>
      </c>
      <c r="V25">
        <f t="shared" si="52"/>
        <v>0</v>
      </c>
      <c r="W25">
        <f t="shared" si="53"/>
        <v>0</v>
      </c>
      <c r="AA25" s="8"/>
      <c r="AJ25" s="4"/>
    </row>
    <row r="26" spans="1:36" x14ac:dyDescent="0.25">
      <c r="A26">
        <v>25</v>
      </c>
      <c r="B26">
        <v>9</v>
      </c>
      <c r="C26" t="s">
        <v>917</v>
      </c>
      <c r="D26" s="16" t="s">
        <v>515</v>
      </c>
      <c r="F26">
        <v>20.68</v>
      </c>
      <c r="G26" t="s">
        <v>44</v>
      </c>
      <c r="H26">
        <v>0</v>
      </c>
      <c r="I26">
        <f>2*1.2*(3+5)</f>
        <v>19.2</v>
      </c>
      <c r="L26">
        <f>Constants!$B$2</f>
        <v>2.8</v>
      </c>
      <c r="M26" t="str">
        <f t="shared" ref="M26" si="54">IF(N26&gt;0,G26,"N/A")</f>
        <v>N/A</v>
      </c>
      <c r="N26">
        <f>P26*Constants!$E$2</f>
        <v>0</v>
      </c>
      <c r="P26">
        <f t="shared" ref="P26" si="55">H26</f>
        <v>0</v>
      </c>
      <c r="Q26">
        <f>P26*Constants!$B$3</f>
        <v>0</v>
      </c>
      <c r="R26">
        <f t="shared" ref="R26" si="56">IF(Q26-N26&lt;=0, 0, Q26-N26)</f>
        <v>0</v>
      </c>
      <c r="S26">
        <f t="shared" ref="S26" si="57">I26-P26</f>
        <v>19.2</v>
      </c>
      <c r="T26">
        <f>S26*Constants!$B$2</f>
        <v>53.76</v>
      </c>
      <c r="V26">
        <f t="shared" ref="V26" si="58">IF(B26="E",1,0)</f>
        <v>0</v>
      </c>
      <c r="W26">
        <f t="shared" ref="W26" si="59">IF(B26=10,1,0)</f>
        <v>0</v>
      </c>
      <c r="AA26" s="8"/>
      <c r="AJ26" s="4"/>
    </row>
    <row r="27" spans="1:36" x14ac:dyDescent="0.25">
      <c r="A27">
        <v>26</v>
      </c>
      <c r="B27">
        <v>9</v>
      </c>
      <c r="C27" t="s">
        <v>917</v>
      </c>
      <c r="D27" s="16" t="s">
        <v>516</v>
      </c>
      <c r="F27">
        <v>20.68</v>
      </c>
      <c r="G27" t="s">
        <v>44</v>
      </c>
      <c r="H27">
        <v>0</v>
      </c>
      <c r="I27">
        <f>2*1.2*(3+5)</f>
        <v>19.2</v>
      </c>
      <c r="L27">
        <f>Constants!$B$2</f>
        <v>2.8</v>
      </c>
      <c r="M27" t="str">
        <f t="shared" ref="M27" si="60">IF(N27&gt;0,G27,"N/A")</f>
        <v>N/A</v>
      </c>
      <c r="N27">
        <f>P27*Constants!$E$2</f>
        <v>0</v>
      </c>
      <c r="P27">
        <f t="shared" ref="P27" si="61">H27</f>
        <v>0</v>
      </c>
      <c r="Q27">
        <f>P27*Constants!$B$3</f>
        <v>0</v>
      </c>
      <c r="R27">
        <f t="shared" ref="R27" si="62">IF(Q27-N27&lt;=0, 0, Q27-N27)</f>
        <v>0</v>
      </c>
      <c r="S27">
        <f t="shared" ref="S27" si="63">I27-P27</f>
        <v>19.2</v>
      </c>
      <c r="T27">
        <f>S27*Constants!$B$2</f>
        <v>53.76</v>
      </c>
      <c r="V27">
        <f t="shared" ref="V27" si="64">IF(B27="E",1,0)</f>
        <v>0</v>
      </c>
      <c r="W27">
        <f t="shared" ref="W27" si="65">IF(B27=10,1,0)</f>
        <v>0</v>
      </c>
      <c r="AA27" s="8"/>
      <c r="AJ27" s="4"/>
    </row>
    <row r="28" spans="1:36" x14ac:dyDescent="0.25">
      <c r="A28">
        <v>27</v>
      </c>
      <c r="B28">
        <v>9</v>
      </c>
      <c r="C28" t="s">
        <v>917</v>
      </c>
      <c r="D28" s="16" t="s">
        <v>517</v>
      </c>
      <c r="F28">
        <v>16.04</v>
      </c>
      <c r="G28" t="s">
        <v>44</v>
      </c>
      <c r="H28">
        <v>0</v>
      </c>
      <c r="I28">
        <f>2*1.2*(3+4)</f>
        <v>16.8</v>
      </c>
      <c r="L28">
        <f>Constants!$B$2</f>
        <v>2.8</v>
      </c>
      <c r="M28" t="str">
        <f t="shared" ref="M28:M31" si="66">IF(N28&gt;0,G28,"N/A")</f>
        <v>N/A</v>
      </c>
      <c r="N28">
        <f>P28*Constants!$E$2</f>
        <v>0</v>
      </c>
      <c r="P28">
        <f t="shared" ref="P28:P31" si="67">H28</f>
        <v>0</v>
      </c>
      <c r="Q28">
        <f>P28*Constants!$B$3</f>
        <v>0</v>
      </c>
      <c r="R28">
        <f t="shared" ref="R28:R31" si="68">IF(Q28-N28&lt;=0, 0, Q28-N28)</f>
        <v>0</v>
      </c>
      <c r="S28">
        <f t="shared" ref="S28:S31" si="69">I28-P28</f>
        <v>16.8</v>
      </c>
      <c r="T28">
        <f>S28*Constants!$B$2</f>
        <v>47.04</v>
      </c>
      <c r="V28">
        <f t="shared" ref="V28:V31" si="70">IF(B28="E",1,0)</f>
        <v>0</v>
      </c>
      <c r="W28">
        <f t="shared" ref="W28:W31" si="71">IF(B28=10,1,0)</f>
        <v>0</v>
      </c>
      <c r="AA28" s="8"/>
      <c r="AJ28" s="4"/>
    </row>
    <row r="29" spans="1:36" x14ac:dyDescent="0.25">
      <c r="A29">
        <v>28</v>
      </c>
      <c r="B29">
        <v>9</v>
      </c>
      <c r="C29" t="s">
        <v>62</v>
      </c>
      <c r="D29" s="16" t="s">
        <v>518</v>
      </c>
      <c r="F29">
        <v>9.9700000000000006</v>
      </c>
      <c r="G29" t="s">
        <v>44</v>
      </c>
      <c r="H29">
        <v>0</v>
      </c>
      <c r="I29">
        <f>2*1.2*(2.5+2)</f>
        <v>10.799999999999999</v>
      </c>
      <c r="L29">
        <f>Constants!$B$2</f>
        <v>2.8</v>
      </c>
      <c r="M29" t="str">
        <f t="shared" si="66"/>
        <v>N/A</v>
      </c>
      <c r="N29">
        <f>P29*Constants!$E$2</f>
        <v>0</v>
      </c>
      <c r="P29">
        <f t="shared" si="67"/>
        <v>0</v>
      </c>
      <c r="Q29">
        <f>P29*Constants!$B$3</f>
        <v>0</v>
      </c>
      <c r="R29">
        <f t="shared" si="68"/>
        <v>0</v>
      </c>
      <c r="S29">
        <f t="shared" si="69"/>
        <v>10.799999999999999</v>
      </c>
      <c r="T29">
        <f>S29*Constants!$B$2</f>
        <v>30.239999999999995</v>
      </c>
      <c r="V29">
        <f t="shared" si="70"/>
        <v>0</v>
      </c>
      <c r="W29">
        <f t="shared" si="71"/>
        <v>0</v>
      </c>
      <c r="AA29" s="8"/>
      <c r="AJ29" s="4"/>
    </row>
    <row r="30" spans="1:36" x14ac:dyDescent="0.25">
      <c r="A30">
        <v>29</v>
      </c>
      <c r="B30">
        <v>9</v>
      </c>
      <c r="C30" t="s">
        <v>182</v>
      </c>
      <c r="D30" s="16" t="s">
        <v>519</v>
      </c>
      <c r="F30">
        <v>15.84</v>
      </c>
      <c r="G30" t="s">
        <v>44</v>
      </c>
      <c r="H30">
        <v>0</v>
      </c>
      <c r="I30">
        <f>2*1.2*(3+4)</f>
        <v>16.8</v>
      </c>
      <c r="L30">
        <f>Constants!$B$2</f>
        <v>2.8</v>
      </c>
      <c r="M30" t="str">
        <f t="shared" si="66"/>
        <v>N/A</v>
      </c>
      <c r="N30">
        <f>P30*Constants!$E$2</f>
        <v>0</v>
      </c>
      <c r="P30">
        <f t="shared" si="67"/>
        <v>0</v>
      </c>
      <c r="Q30">
        <f>P30*Constants!$B$3</f>
        <v>0</v>
      </c>
      <c r="R30">
        <f t="shared" si="68"/>
        <v>0</v>
      </c>
      <c r="S30">
        <f t="shared" si="69"/>
        <v>16.8</v>
      </c>
      <c r="T30">
        <f>S30*Constants!$B$2</f>
        <v>47.04</v>
      </c>
      <c r="V30">
        <f t="shared" si="70"/>
        <v>0</v>
      </c>
      <c r="W30">
        <f t="shared" si="71"/>
        <v>0</v>
      </c>
      <c r="AA30" s="8"/>
      <c r="AJ30" s="4"/>
    </row>
    <row r="31" spans="1:36" x14ac:dyDescent="0.25">
      <c r="A31">
        <v>30</v>
      </c>
      <c r="B31">
        <v>9</v>
      </c>
      <c r="C31" t="s">
        <v>64</v>
      </c>
      <c r="D31" s="16" t="s">
        <v>520</v>
      </c>
      <c r="E31" s="16" t="s">
        <v>519</v>
      </c>
      <c r="F31">
        <v>1.83</v>
      </c>
      <c r="G31" t="s">
        <v>44</v>
      </c>
      <c r="H31">
        <v>0</v>
      </c>
      <c r="I31">
        <f>2*1.2*(1.5+1)</f>
        <v>6</v>
      </c>
      <c r="L31">
        <f>Constants!$B$2</f>
        <v>2.8</v>
      </c>
      <c r="M31" t="str">
        <f t="shared" si="66"/>
        <v>N/A</v>
      </c>
      <c r="N31">
        <f>P31*Constants!$E$2</f>
        <v>0</v>
      </c>
      <c r="P31">
        <f t="shared" si="67"/>
        <v>0</v>
      </c>
      <c r="Q31">
        <f>P31*Constants!$B$3</f>
        <v>0</v>
      </c>
      <c r="R31">
        <f t="shared" si="68"/>
        <v>0</v>
      </c>
      <c r="S31">
        <f t="shared" si="69"/>
        <v>6</v>
      </c>
      <c r="T31">
        <f>S31*Constants!$B$2</f>
        <v>16.799999999999997</v>
      </c>
      <c r="V31">
        <f t="shared" si="70"/>
        <v>0</v>
      </c>
      <c r="W31">
        <f t="shared" si="71"/>
        <v>0</v>
      </c>
      <c r="AA31" s="8"/>
      <c r="AJ31" s="4"/>
    </row>
    <row r="32" spans="1:36" x14ac:dyDescent="0.25">
      <c r="A32">
        <v>31</v>
      </c>
      <c r="B32">
        <v>9</v>
      </c>
      <c r="C32" t="s">
        <v>55</v>
      </c>
      <c r="D32" s="16" t="s">
        <v>521</v>
      </c>
      <c r="F32">
        <v>1.83</v>
      </c>
      <c r="G32" t="s">
        <v>44</v>
      </c>
      <c r="H32">
        <v>0</v>
      </c>
      <c r="I32">
        <f>2*1.2*(1.5+1)</f>
        <v>6</v>
      </c>
      <c r="L32">
        <f>Constants!$B$2</f>
        <v>2.8</v>
      </c>
      <c r="M32" t="str">
        <f t="shared" ref="M32" si="72">IF(N32&gt;0,G32,"N/A")</f>
        <v>N/A</v>
      </c>
      <c r="N32">
        <f>P32*Constants!$E$2</f>
        <v>0</v>
      </c>
      <c r="P32">
        <f t="shared" ref="P32" si="73">H32</f>
        <v>0</v>
      </c>
      <c r="Q32">
        <f>P32*Constants!$B$3</f>
        <v>0</v>
      </c>
      <c r="R32">
        <f t="shared" ref="R32" si="74">IF(Q32-N32&lt;=0, 0, Q32-N32)</f>
        <v>0</v>
      </c>
      <c r="S32">
        <f t="shared" ref="S32" si="75">I32-P32</f>
        <v>6</v>
      </c>
      <c r="T32">
        <f>S32*Constants!$B$2</f>
        <v>16.799999999999997</v>
      </c>
      <c r="V32">
        <f t="shared" ref="V32" si="76">IF(B32="E",1,0)</f>
        <v>0</v>
      </c>
      <c r="W32">
        <f t="shared" ref="W32" si="77">IF(B32=10,1,0)</f>
        <v>0</v>
      </c>
      <c r="AA32" s="8"/>
      <c r="AJ32" s="4"/>
    </row>
    <row r="33" spans="1:36" x14ac:dyDescent="0.25">
      <c r="A33">
        <v>32</v>
      </c>
      <c r="B33">
        <v>9</v>
      </c>
      <c r="C33" t="s">
        <v>73</v>
      </c>
      <c r="D33" s="16" t="s">
        <v>522</v>
      </c>
      <c r="F33">
        <v>16.04</v>
      </c>
      <c r="G33" t="s">
        <v>44</v>
      </c>
      <c r="H33">
        <v>0</v>
      </c>
      <c r="I33">
        <f>2*1.2*(3+4)</f>
        <v>16.8</v>
      </c>
      <c r="L33">
        <f>Constants!$B$2</f>
        <v>2.8</v>
      </c>
      <c r="M33" t="str">
        <f t="shared" ref="M33:M34" si="78">IF(N33&gt;0,G33,"N/A")</f>
        <v>N/A</v>
      </c>
      <c r="N33">
        <f>P33*Constants!$E$2</f>
        <v>0</v>
      </c>
      <c r="P33">
        <f t="shared" ref="P33:P34" si="79">H33</f>
        <v>0</v>
      </c>
      <c r="Q33">
        <f>P33*Constants!$B$3</f>
        <v>0</v>
      </c>
      <c r="R33">
        <f t="shared" ref="R33:R34" si="80">IF(Q33-N33&lt;=0, 0, Q33-N33)</f>
        <v>0</v>
      </c>
      <c r="S33">
        <f t="shared" ref="S33:S34" si="81">I33-P33</f>
        <v>16.8</v>
      </c>
      <c r="T33">
        <f>S33*Constants!$B$2</f>
        <v>47.04</v>
      </c>
      <c r="V33">
        <f t="shared" ref="V33:V34" si="82">IF(B33="E",1,0)</f>
        <v>0</v>
      </c>
      <c r="W33">
        <f t="shared" ref="W33:W34" si="83">IF(B33=10,1,0)</f>
        <v>0</v>
      </c>
      <c r="AA33" s="8"/>
      <c r="AJ33" s="4"/>
    </row>
    <row r="34" spans="1:36" x14ac:dyDescent="0.25">
      <c r="A34">
        <v>33</v>
      </c>
      <c r="B34">
        <v>9</v>
      </c>
      <c r="C34" t="s">
        <v>64</v>
      </c>
      <c r="D34" s="16" t="s">
        <v>523</v>
      </c>
      <c r="E34" s="16" t="s">
        <v>519</v>
      </c>
      <c r="F34">
        <v>1.83</v>
      </c>
      <c r="G34" t="s">
        <v>44</v>
      </c>
      <c r="H34">
        <v>0</v>
      </c>
      <c r="I34">
        <f>2*1.2*(1.5+1)</f>
        <v>6</v>
      </c>
      <c r="L34">
        <f>Constants!$B$2</f>
        <v>2.8</v>
      </c>
      <c r="M34" t="str">
        <f t="shared" si="78"/>
        <v>N/A</v>
      </c>
      <c r="N34">
        <f>P34*Constants!$E$2</f>
        <v>0</v>
      </c>
      <c r="P34">
        <f t="shared" si="79"/>
        <v>0</v>
      </c>
      <c r="Q34">
        <f>P34*Constants!$B$3</f>
        <v>0</v>
      </c>
      <c r="R34">
        <f t="shared" si="80"/>
        <v>0</v>
      </c>
      <c r="S34">
        <f t="shared" si="81"/>
        <v>6</v>
      </c>
      <c r="T34">
        <f>S34*Constants!$B$2</f>
        <v>16.799999999999997</v>
      </c>
      <c r="V34">
        <f t="shared" si="82"/>
        <v>0</v>
      </c>
      <c r="W34">
        <f t="shared" si="83"/>
        <v>0</v>
      </c>
      <c r="AA34" s="8"/>
      <c r="AJ34" s="4"/>
    </row>
    <row r="35" spans="1:36" x14ac:dyDescent="0.25">
      <c r="A35">
        <v>34</v>
      </c>
      <c r="B35">
        <v>9</v>
      </c>
      <c r="C35" t="s">
        <v>64</v>
      </c>
      <c r="D35" s="16" t="s">
        <v>524</v>
      </c>
      <c r="E35" s="16" t="s">
        <v>519</v>
      </c>
      <c r="F35">
        <v>1.83</v>
      </c>
      <c r="G35" t="s">
        <v>44</v>
      </c>
      <c r="H35">
        <v>0</v>
      </c>
      <c r="I35">
        <f>2*1.2*(1.5+1)</f>
        <v>6</v>
      </c>
      <c r="L35">
        <f>Constants!$B$2</f>
        <v>2.8</v>
      </c>
      <c r="M35" t="str">
        <f t="shared" ref="M35:M39" si="84">IF(N35&gt;0,G35,"N/A")</f>
        <v>N/A</v>
      </c>
      <c r="N35">
        <f>P35*Constants!$E$2</f>
        <v>0</v>
      </c>
      <c r="P35">
        <f t="shared" ref="P35:P39" si="85">H35</f>
        <v>0</v>
      </c>
      <c r="Q35">
        <f>P35*Constants!$B$3</f>
        <v>0</v>
      </c>
      <c r="R35">
        <f t="shared" ref="R35:R39" si="86">IF(Q35-N35&lt;=0, 0, Q35-N35)</f>
        <v>0</v>
      </c>
      <c r="S35">
        <f t="shared" ref="S35:S39" si="87">I35-P35</f>
        <v>6</v>
      </c>
      <c r="T35">
        <f>S35*Constants!$B$2</f>
        <v>16.799999999999997</v>
      </c>
      <c r="V35">
        <f t="shared" ref="V35:V39" si="88">IF(B35="E",1,0)</f>
        <v>0</v>
      </c>
      <c r="W35">
        <f t="shared" ref="W35:W39" si="89">IF(B35=10,1,0)</f>
        <v>0</v>
      </c>
      <c r="AA35" s="8"/>
      <c r="AJ35" s="4"/>
    </row>
    <row r="36" spans="1:36" x14ac:dyDescent="0.25">
      <c r="A36">
        <v>35</v>
      </c>
      <c r="B36">
        <v>9</v>
      </c>
      <c r="C36" t="s">
        <v>182</v>
      </c>
      <c r="D36" s="16" t="s">
        <v>525</v>
      </c>
      <c r="F36">
        <v>15.84</v>
      </c>
      <c r="G36" t="s">
        <v>44</v>
      </c>
      <c r="H36">
        <v>0</v>
      </c>
      <c r="I36">
        <f>2*1.2*(3+4)</f>
        <v>16.8</v>
      </c>
      <c r="L36">
        <f>Constants!$B$2</f>
        <v>2.8</v>
      </c>
      <c r="M36" t="str">
        <f t="shared" si="84"/>
        <v>N/A</v>
      </c>
      <c r="N36">
        <f>P36*Constants!$E$2</f>
        <v>0</v>
      </c>
      <c r="P36">
        <f t="shared" si="85"/>
        <v>0</v>
      </c>
      <c r="Q36">
        <f>P36*Constants!$B$3</f>
        <v>0</v>
      </c>
      <c r="R36">
        <f t="shared" si="86"/>
        <v>0</v>
      </c>
      <c r="S36">
        <f t="shared" si="87"/>
        <v>16.8</v>
      </c>
      <c r="T36">
        <f>S36*Constants!$B$2</f>
        <v>47.04</v>
      </c>
      <c r="V36">
        <f t="shared" si="88"/>
        <v>0</v>
      </c>
      <c r="W36">
        <f t="shared" si="89"/>
        <v>0</v>
      </c>
      <c r="AA36" s="8"/>
      <c r="AJ36" s="4"/>
    </row>
    <row r="37" spans="1:36" x14ac:dyDescent="0.25">
      <c r="A37">
        <v>36</v>
      </c>
      <c r="B37">
        <v>9</v>
      </c>
      <c r="C37" t="s">
        <v>62</v>
      </c>
      <c r="D37" s="16" t="s">
        <v>526</v>
      </c>
      <c r="F37">
        <v>9.9700000000000006</v>
      </c>
      <c r="G37" t="s">
        <v>44</v>
      </c>
      <c r="H37">
        <v>0</v>
      </c>
      <c r="I37">
        <f>2*1.2*(2+2.5)</f>
        <v>10.799999999999999</v>
      </c>
      <c r="L37">
        <f>Constants!$B$2</f>
        <v>2.8</v>
      </c>
      <c r="M37" t="str">
        <f t="shared" si="84"/>
        <v>N/A</v>
      </c>
      <c r="N37">
        <f>P37*Constants!$E$2</f>
        <v>0</v>
      </c>
      <c r="P37">
        <f t="shared" si="85"/>
        <v>0</v>
      </c>
      <c r="Q37">
        <f>P37*Constants!$B$3</f>
        <v>0</v>
      </c>
      <c r="R37">
        <f t="shared" si="86"/>
        <v>0</v>
      </c>
      <c r="S37">
        <f t="shared" si="87"/>
        <v>10.799999999999999</v>
      </c>
      <c r="T37">
        <f>S37*Constants!$B$2</f>
        <v>30.239999999999995</v>
      </c>
      <c r="V37">
        <f t="shared" si="88"/>
        <v>0</v>
      </c>
      <c r="W37">
        <f t="shared" si="89"/>
        <v>0</v>
      </c>
      <c r="AA37" s="8"/>
      <c r="AJ37" s="4"/>
    </row>
    <row r="38" spans="1:36" x14ac:dyDescent="0.25">
      <c r="A38">
        <v>37</v>
      </c>
      <c r="B38">
        <v>9</v>
      </c>
      <c r="C38" t="s">
        <v>917</v>
      </c>
      <c r="D38" s="16" t="s">
        <v>527</v>
      </c>
      <c r="F38">
        <v>18.2</v>
      </c>
      <c r="G38" t="s">
        <v>44</v>
      </c>
      <c r="H38">
        <v>0</v>
      </c>
      <c r="I38">
        <f>2*1.2*(3+4.5)</f>
        <v>18</v>
      </c>
      <c r="L38">
        <f>Constants!$B$2</f>
        <v>2.8</v>
      </c>
      <c r="M38" t="str">
        <f t="shared" si="84"/>
        <v>N/A</v>
      </c>
      <c r="N38">
        <f>P38*Constants!$E$2</f>
        <v>0</v>
      </c>
      <c r="P38">
        <f t="shared" si="85"/>
        <v>0</v>
      </c>
      <c r="Q38">
        <f>P38*Constants!$B$3</f>
        <v>0</v>
      </c>
      <c r="R38">
        <f t="shared" si="86"/>
        <v>0</v>
      </c>
      <c r="S38">
        <f t="shared" si="87"/>
        <v>18</v>
      </c>
      <c r="T38">
        <f>S38*Constants!$B$2</f>
        <v>50.4</v>
      </c>
      <c r="V38">
        <f t="shared" si="88"/>
        <v>0</v>
      </c>
      <c r="W38">
        <f t="shared" si="89"/>
        <v>0</v>
      </c>
      <c r="AA38" s="8"/>
      <c r="AJ38" s="4"/>
    </row>
    <row r="39" spans="1:36" x14ac:dyDescent="0.25">
      <c r="A39">
        <v>38</v>
      </c>
      <c r="B39">
        <v>9</v>
      </c>
      <c r="C39" t="s">
        <v>917</v>
      </c>
      <c r="D39" s="16" t="s">
        <v>528</v>
      </c>
      <c r="F39">
        <v>20.68</v>
      </c>
      <c r="G39" t="s">
        <v>44</v>
      </c>
      <c r="H39">
        <v>0</v>
      </c>
      <c r="I39">
        <f>2*1.2*(3+5)</f>
        <v>19.2</v>
      </c>
      <c r="L39">
        <f>Constants!$B$2</f>
        <v>2.8</v>
      </c>
      <c r="M39" t="str">
        <f t="shared" si="84"/>
        <v>N/A</v>
      </c>
      <c r="N39">
        <f>P39*Constants!$E$2</f>
        <v>0</v>
      </c>
      <c r="P39">
        <f t="shared" si="85"/>
        <v>0</v>
      </c>
      <c r="Q39">
        <f>P39*Constants!$B$3</f>
        <v>0</v>
      </c>
      <c r="R39">
        <f t="shared" si="86"/>
        <v>0</v>
      </c>
      <c r="S39">
        <f t="shared" si="87"/>
        <v>19.2</v>
      </c>
      <c r="T39">
        <f>S39*Constants!$B$2</f>
        <v>53.76</v>
      </c>
      <c r="V39">
        <f t="shared" si="88"/>
        <v>0</v>
      </c>
      <c r="W39">
        <f t="shared" si="89"/>
        <v>0</v>
      </c>
      <c r="AA39" s="8"/>
      <c r="AJ39" s="4"/>
    </row>
    <row r="40" spans="1:36" x14ac:dyDescent="0.25">
      <c r="A40">
        <v>39</v>
      </c>
      <c r="B40">
        <v>9</v>
      </c>
      <c r="C40" t="s">
        <v>917</v>
      </c>
      <c r="D40" s="16" t="s">
        <v>529</v>
      </c>
      <c r="F40">
        <v>20.68</v>
      </c>
      <c r="G40" t="s">
        <v>44</v>
      </c>
      <c r="H40">
        <v>0</v>
      </c>
      <c r="I40">
        <f>2*1.2*(3+5)</f>
        <v>19.2</v>
      </c>
      <c r="L40">
        <f>Constants!$B$2</f>
        <v>2.8</v>
      </c>
      <c r="M40" t="str">
        <f t="shared" ref="M40" si="90">IF(N40&gt;0,G40,"N/A")</f>
        <v>N/A</v>
      </c>
      <c r="N40">
        <f>P40*Constants!$E$2</f>
        <v>0</v>
      </c>
      <c r="P40">
        <f t="shared" ref="P40" si="91">H40</f>
        <v>0</v>
      </c>
      <c r="Q40">
        <f>P40*Constants!$B$3</f>
        <v>0</v>
      </c>
      <c r="R40">
        <f t="shared" ref="R40" si="92">IF(Q40-N40&lt;=0, 0, Q40-N40)</f>
        <v>0</v>
      </c>
      <c r="S40">
        <f t="shared" ref="S40" si="93">I40-P40</f>
        <v>19.2</v>
      </c>
      <c r="T40">
        <f>S40*Constants!$B$2</f>
        <v>53.76</v>
      </c>
      <c r="V40">
        <f t="shared" ref="V40" si="94">IF(B40="E",1,0)</f>
        <v>0</v>
      </c>
      <c r="W40">
        <f t="shared" ref="W40" si="95">IF(B40=10,1,0)</f>
        <v>0</v>
      </c>
      <c r="AA40" s="8"/>
      <c r="AJ40" s="4"/>
    </row>
    <row r="41" spans="1:36" x14ac:dyDescent="0.25">
      <c r="A41">
        <v>40</v>
      </c>
      <c r="B41">
        <v>9</v>
      </c>
      <c r="C41" t="s">
        <v>917</v>
      </c>
      <c r="D41" s="16" t="s">
        <v>530</v>
      </c>
      <c r="F41">
        <v>20.68</v>
      </c>
      <c r="G41" t="s">
        <v>44</v>
      </c>
      <c r="H41">
        <v>0</v>
      </c>
      <c r="I41">
        <f>2*1.2*(3+5)</f>
        <v>19.2</v>
      </c>
      <c r="L41">
        <f>Constants!$B$2</f>
        <v>2.8</v>
      </c>
      <c r="M41" t="str">
        <f t="shared" ref="M41" si="96">IF(N41&gt;0,G41,"N/A")</f>
        <v>N/A</v>
      </c>
      <c r="N41">
        <f>P41*Constants!$E$2</f>
        <v>0</v>
      </c>
      <c r="P41">
        <f t="shared" ref="P41" si="97">H41</f>
        <v>0</v>
      </c>
      <c r="Q41">
        <f>P41*Constants!$B$3</f>
        <v>0</v>
      </c>
      <c r="R41">
        <f t="shared" ref="R41" si="98">IF(Q41-N41&lt;=0, 0, Q41-N41)</f>
        <v>0</v>
      </c>
      <c r="S41">
        <f t="shared" ref="S41" si="99">I41-P41</f>
        <v>19.2</v>
      </c>
      <c r="T41">
        <f>S41*Constants!$B$2</f>
        <v>53.76</v>
      </c>
      <c r="V41">
        <f t="shared" ref="V41" si="100">IF(B41="E",1,0)</f>
        <v>0</v>
      </c>
      <c r="W41">
        <f t="shared" ref="W41" si="101">IF(B41=10,1,0)</f>
        <v>0</v>
      </c>
      <c r="AA41" s="8"/>
      <c r="AJ41" s="4"/>
    </row>
    <row r="42" spans="1:36" x14ac:dyDescent="0.25">
      <c r="A42">
        <v>41</v>
      </c>
      <c r="B42">
        <v>9</v>
      </c>
      <c r="C42" t="s">
        <v>75</v>
      </c>
      <c r="D42" s="16" t="s">
        <v>531</v>
      </c>
      <c r="F42">
        <v>11.8</v>
      </c>
      <c r="G42" t="s">
        <v>44</v>
      </c>
      <c r="H42">
        <v>0</v>
      </c>
      <c r="I42">
        <f>2*1.2*(2+4.5)</f>
        <v>15.6</v>
      </c>
      <c r="L42">
        <f>Constants!$B$2</f>
        <v>2.8</v>
      </c>
      <c r="M42" t="str">
        <f t="shared" ref="M42:M44" si="102">IF(N42&gt;0,G42,"N/A")</f>
        <v>N/A</v>
      </c>
      <c r="N42">
        <f>P42*Constants!$E$2</f>
        <v>0</v>
      </c>
      <c r="P42">
        <f t="shared" ref="P42:P44" si="103">H42</f>
        <v>0</v>
      </c>
      <c r="Q42">
        <f>P42*Constants!$B$3</f>
        <v>0</v>
      </c>
      <c r="R42">
        <f t="shared" ref="R42:R44" si="104">IF(Q42-N42&lt;=0, 0, Q42-N42)</f>
        <v>0</v>
      </c>
      <c r="S42">
        <f t="shared" ref="S42:S44" si="105">I42-P42</f>
        <v>15.6</v>
      </c>
      <c r="T42">
        <f>S42*Constants!$B$2</f>
        <v>43.68</v>
      </c>
      <c r="V42">
        <f t="shared" ref="V42:V44" si="106">IF(B42="E",1,0)</f>
        <v>0</v>
      </c>
      <c r="W42">
        <f t="shared" ref="W42:W44" si="107">IF(B42=10,1,0)</f>
        <v>0</v>
      </c>
      <c r="AA42" s="8"/>
      <c r="AJ42" s="4"/>
    </row>
    <row r="43" spans="1:36" x14ac:dyDescent="0.25">
      <c r="A43">
        <v>42</v>
      </c>
      <c r="B43">
        <v>9</v>
      </c>
      <c r="C43" t="s">
        <v>59</v>
      </c>
      <c r="D43" s="16" t="s">
        <v>532</v>
      </c>
      <c r="F43">
        <v>11.81</v>
      </c>
      <c r="G43" t="s">
        <v>44</v>
      </c>
      <c r="H43">
        <v>0</v>
      </c>
      <c r="I43">
        <f>2*1.2*(2+4.5)</f>
        <v>15.6</v>
      </c>
      <c r="L43">
        <f>Constants!$B$2</f>
        <v>2.8</v>
      </c>
      <c r="M43" t="str">
        <f t="shared" si="102"/>
        <v>N/A</v>
      </c>
      <c r="N43">
        <f>P43*Constants!$E$2</f>
        <v>0</v>
      </c>
      <c r="P43">
        <f t="shared" si="103"/>
        <v>0</v>
      </c>
      <c r="Q43">
        <f>P43*Constants!$B$3</f>
        <v>0</v>
      </c>
      <c r="R43">
        <f t="shared" si="104"/>
        <v>0</v>
      </c>
      <c r="S43">
        <f t="shared" si="105"/>
        <v>15.6</v>
      </c>
      <c r="T43">
        <f>S43*Constants!$B$2</f>
        <v>43.68</v>
      </c>
      <c r="V43">
        <f t="shared" si="106"/>
        <v>0</v>
      </c>
      <c r="W43">
        <f t="shared" si="107"/>
        <v>0</v>
      </c>
      <c r="AA43" s="8"/>
      <c r="AJ43" s="4"/>
    </row>
    <row r="44" spans="1:36" x14ac:dyDescent="0.25">
      <c r="A44">
        <v>43</v>
      </c>
      <c r="B44">
        <v>9</v>
      </c>
      <c r="C44" t="s">
        <v>54</v>
      </c>
      <c r="D44" s="16" t="s">
        <v>533</v>
      </c>
      <c r="F44">
        <v>9.83</v>
      </c>
      <c r="G44" t="s">
        <v>44</v>
      </c>
      <c r="H44">
        <v>0</v>
      </c>
      <c r="I44">
        <f>2*1.2*(3+2.5)</f>
        <v>13.2</v>
      </c>
      <c r="L44">
        <f>Constants!$B$2</f>
        <v>2.8</v>
      </c>
      <c r="M44" t="str">
        <f t="shared" si="102"/>
        <v>N/A</v>
      </c>
      <c r="N44">
        <f>P44*Constants!$E$2</f>
        <v>0</v>
      </c>
      <c r="P44">
        <f t="shared" si="103"/>
        <v>0</v>
      </c>
      <c r="Q44">
        <f>P44*Constants!$B$3</f>
        <v>0</v>
      </c>
      <c r="R44">
        <f t="shared" si="104"/>
        <v>0</v>
      </c>
      <c r="S44">
        <f t="shared" si="105"/>
        <v>13.2</v>
      </c>
      <c r="T44">
        <f>S44*Constants!$B$2</f>
        <v>36.959999999999994</v>
      </c>
      <c r="V44">
        <f t="shared" si="106"/>
        <v>0</v>
      </c>
      <c r="W44">
        <f t="shared" si="107"/>
        <v>0</v>
      </c>
      <c r="AA44" s="8"/>
      <c r="AJ44" s="4"/>
    </row>
    <row r="45" spans="1:36" x14ac:dyDescent="0.25">
      <c r="A45">
        <v>44</v>
      </c>
      <c r="B45">
        <v>9</v>
      </c>
      <c r="C45" t="s">
        <v>67</v>
      </c>
      <c r="D45" s="16" t="s">
        <v>534</v>
      </c>
      <c r="F45">
        <v>18.97</v>
      </c>
      <c r="G45" t="s">
        <v>44</v>
      </c>
      <c r="H45">
        <v>0</v>
      </c>
      <c r="I45">
        <f>2*1.2*(3.5+4)</f>
        <v>18</v>
      </c>
      <c r="L45">
        <f>Constants!$B$2</f>
        <v>2.8</v>
      </c>
      <c r="M45" t="str">
        <f t="shared" ref="M45:M47" si="108">IF(N45&gt;0,G45,"N/A")</f>
        <v>N/A</v>
      </c>
      <c r="N45">
        <f>P45*Constants!$E$2</f>
        <v>0</v>
      </c>
      <c r="P45">
        <f t="shared" ref="P45:P47" si="109">H45</f>
        <v>0</v>
      </c>
      <c r="Q45">
        <f>P45*Constants!$B$3</f>
        <v>0</v>
      </c>
      <c r="R45">
        <f t="shared" ref="R45:R47" si="110">IF(Q45-N45&lt;=0, 0, Q45-N45)</f>
        <v>0</v>
      </c>
      <c r="S45">
        <f t="shared" ref="S45:S47" si="111">I45-P45</f>
        <v>18</v>
      </c>
      <c r="T45">
        <f>S45*Constants!$B$2</f>
        <v>50.4</v>
      </c>
      <c r="V45">
        <f t="shared" ref="V45:V47" si="112">IF(B45="E",1,0)</f>
        <v>0</v>
      </c>
      <c r="W45">
        <f t="shared" ref="W45:W47" si="113">IF(B45=10,1,0)</f>
        <v>0</v>
      </c>
      <c r="AA45" s="8"/>
      <c r="AJ45" s="4"/>
    </row>
    <row r="46" spans="1:36" x14ac:dyDescent="0.25">
      <c r="A46">
        <v>45</v>
      </c>
      <c r="B46">
        <v>9</v>
      </c>
      <c r="C46" t="s">
        <v>54</v>
      </c>
      <c r="D46" s="16" t="s">
        <v>535</v>
      </c>
      <c r="F46">
        <v>9.83</v>
      </c>
      <c r="G46" t="s">
        <v>44</v>
      </c>
      <c r="H46">
        <v>0</v>
      </c>
      <c r="I46">
        <f>2*1.2*(2.5+3)</f>
        <v>13.2</v>
      </c>
      <c r="L46">
        <f>Constants!$B$2</f>
        <v>2.8</v>
      </c>
      <c r="M46" t="str">
        <f t="shared" si="108"/>
        <v>N/A</v>
      </c>
      <c r="N46">
        <f>P46*Constants!$E$2</f>
        <v>0</v>
      </c>
      <c r="P46">
        <f t="shared" si="109"/>
        <v>0</v>
      </c>
      <c r="Q46">
        <f>P46*Constants!$B$3</f>
        <v>0</v>
      </c>
      <c r="R46">
        <f t="shared" si="110"/>
        <v>0</v>
      </c>
      <c r="S46">
        <f t="shared" si="111"/>
        <v>13.2</v>
      </c>
      <c r="T46">
        <f>S46*Constants!$B$2</f>
        <v>36.959999999999994</v>
      </c>
      <c r="V46">
        <f t="shared" si="112"/>
        <v>0</v>
      </c>
      <c r="W46">
        <f t="shared" si="113"/>
        <v>0</v>
      </c>
      <c r="AA46" s="8"/>
      <c r="AJ46" s="4"/>
    </row>
    <row r="47" spans="1:36" x14ac:dyDescent="0.25">
      <c r="A47">
        <v>46</v>
      </c>
      <c r="B47">
        <v>9</v>
      </c>
      <c r="C47" t="s">
        <v>45</v>
      </c>
      <c r="D47" s="16" t="s">
        <v>536</v>
      </c>
      <c r="F47">
        <v>24.64</v>
      </c>
      <c r="G47" t="s">
        <v>44</v>
      </c>
      <c r="H47">
        <v>0</v>
      </c>
      <c r="I47">
        <f>2*1.2*(4+4.5)</f>
        <v>20.399999999999999</v>
      </c>
      <c r="L47">
        <f>Constants!$B$2</f>
        <v>2.8</v>
      </c>
      <c r="M47" t="str">
        <f t="shared" si="108"/>
        <v>N/A</v>
      </c>
      <c r="N47">
        <f>P47*Constants!$E$2</f>
        <v>0</v>
      </c>
      <c r="P47">
        <f t="shared" si="109"/>
        <v>0</v>
      </c>
      <c r="Q47">
        <f>P47*Constants!$B$3</f>
        <v>0</v>
      </c>
      <c r="R47">
        <f t="shared" si="110"/>
        <v>0</v>
      </c>
      <c r="S47">
        <f t="shared" si="111"/>
        <v>20.399999999999999</v>
      </c>
      <c r="T47">
        <f>S47*Constants!$B$2</f>
        <v>57.11999999999999</v>
      </c>
      <c r="V47">
        <f t="shared" si="112"/>
        <v>0</v>
      </c>
      <c r="W47">
        <f t="shared" si="113"/>
        <v>0</v>
      </c>
      <c r="AA47" s="8"/>
      <c r="AJ47" s="4"/>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4"/>
    </row>
    <row r="400" spans="4:4" x14ac:dyDescent="0.25">
      <c r="D400" s="14"/>
    </row>
    <row r="401" spans="4:4" x14ac:dyDescent="0.25">
      <c r="D401" s="13"/>
    </row>
    <row r="402" spans="4:4" x14ac:dyDescent="0.25">
      <c r="D402" s="13"/>
    </row>
    <row r="403" spans="4:4" x14ac:dyDescent="0.25">
      <c r="D403" s="13"/>
    </row>
    <row r="404" spans="4:4" x14ac:dyDescent="0.25">
      <c r="D404" s="13"/>
    </row>
    <row r="405" spans="4:4" x14ac:dyDescent="0.25">
      <c r="D405" s="13"/>
    </row>
    <row r="406" spans="4:4" x14ac:dyDescent="0.25">
      <c r="D406" s="13"/>
    </row>
    <row r="407" spans="4:4" x14ac:dyDescent="0.25">
      <c r="D407" s="13"/>
    </row>
    <row r="408" spans="4:4" x14ac:dyDescent="0.25">
      <c r="D408" s="13"/>
    </row>
  </sheetData>
  <phoneticPr fontId="5" type="noConversion"/>
  <pageMargins left="0.7" right="0.7" top="0.78740157499999996" bottom="0.78740157499999996"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84"/>
  <sheetViews>
    <sheetView zoomScaleNormal="100" workbookViewId="0">
      <pane xSplit="4" ySplit="1" topLeftCell="H2" activePane="bottomRight" state="frozen"/>
      <selection pane="topRight" activeCell="F1" sqref="F1"/>
      <selection pane="bottomLeft" activeCell="A2" sqref="A2"/>
      <selection pane="bottomRight" activeCell="C3" sqref="C3"/>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s="17" t="s">
        <v>62</v>
      </c>
      <c r="D2" s="16" t="s">
        <v>537</v>
      </c>
      <c r="F2">
        <v>64</v>
      </c>
      <c r="G2" t="s">
        <v>44</v>
      </c>
      <c r="H2">
        <v>0</v>
      </c>
      <c r="I2">
        <f>2*(28.8+2.3)</f>
        <v>62.2</v>
      </c>
      <c r="L2">
        <f>Constants!$B$2</f>
        <v>2.8</v>
      </c>
      <c r="M2" t="str">
        <f t="shared" ref="M2:M4"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9</v>
      </c>
      <c r="C3" t="s">
        <v>62</v>
      </c>
      <c r="D3" s="16" t="s">
        <v>538</v>
      </c>
      <c r="F3">
        <v>13.39</v>
      </c>
      <c r="G3" t="s">
        <v>44</v>
      </c>
      <c r="H3">
        <v>0</v>
      </c>
      <c r="I3">
        <f>2*1.2*(2.5+4)</f>
        <v>15.6</v>
      </c>
      <c r="L3">
        <f>Constants!$B$2</f>
        <v>2.8</v>
      </c>
      <c r="M3" t="str">
        <f t="shared" si="0"/>
        <v>N/A</v>
      </c>
      <c r="N3">
        <f>P3*Constants!$E$2</f>
        <v>0</v>
      </c>
      <c r="P3">
        <f t="shared" ref="P3:P4" si="1">H3</f>
        <v>0</v>
      </c>
      <c r="Q3">
        <f>P3*Constants!$B$3</f>
        <v>0</v>
      </c>
      <c r="R3">
        <f t="shared" ref="R3:R4" si="2">IF(Q3-N3&lt;=0, 0, Q3-N3)</f>
        <v>0</v>
      </c>
      <c r="S3">
        <f t="shared" ref="S3:S4" si="3">I3-P3</f>
        <v>15.6</v>
      </c>
      <c r="T3">
        <f>S3*Constants!$B$2</f>
        <v>43.68</v>
      </c>
      <c r="V3">
        <f t="shared" ref="V3:V4" si="4">IF(B3="E",1,0)</f>
        <v>0</v>
      </c>
      <c r="W3">
        <f t="shared" ref="W3:W4" si="5">IF(B3=10,1,0)</f>
        <v>0</v>
      </c>
      <c r="AA3" s="8"/>
      <c r="AJ3" s="4"/>
    </row>
    <row r="4" spans="1:40" x14ac:dyDescent="0.25">
      <c r="A4">
        <v>3</v>
      </c>
      <c r="B4">
        <v>9</v>
      </c>
      <c r="C4" t="s">
        <v>45</v>
      </c>
      <c r="D4" s="16" t="s">
        <v>539</v>
      </c>
      <c r="E4" s="16"/>
      <c r="F4">
        <v>12.83</v>
      </c>
      <c r="G4" t="s">
        <v>44</v>
      </c>
      <c r="H4">
        <v>0</v>
      </c>
      <c r="I4">
        <f>2*1.2*(4+2.5)</f>
        <v>15.6</v>
      </c>
      <c r="L4">
        <f>Constants!$B$2</f>
        <v>2.8</v>
      </c>
      <c r="M4" t="str">
        <f t="shared" si="0"/>
        <v>N/A</v>
      </c>
      <c r="N4">
        <f>P4*Constants!$E$2</f>
        <v>0</v>
      </c>
      <c r="P4">
        <f t="shared" si="1"/>
        <v>0</v>
      </c>
      <c r="Q4">
        <f>P4*Constants!$B$3</f>
        <v>0</v>
      </c>
      <c r="R4">
        <f t="shared" si="2"/>
        <v>0</v>
      </c>
      <c r="S4">
        <f t="shared" si="3"/>
        <v>15.6</v>
      </c>
      <c r="T4">
        <f>S4*Constants!$B$2</f>
        <v>43.68</v>
      </c>
      <c r="V4">
        <f t="shared" si="4"/>
        <v>0</v>
      </c>
      <c r="W4">
        <f t="shared" si="5"/>
        <v>0</v>
      </c>
      <c r="AA4" s="8"/>
      <c r="AJ4" s="4"/>
    </row>
    <row r="5" spans="1:40" x14ac:dyDescent="0.25">
      <c r="A5">
        <v>4</v>
      </c>
      <c r="B5">
        <v>9</v>
      </c>
      <c r="C5" s="17" t="s">
        <v>75</v>
      </c>
      <c r="D5" s="16" t="s">
        <v>540</v>
      </c>
      <c r="F5">
        <v>27.19</v>
      </c>
      <c r="G5" t="s">
        <v>44</v>
      </c>
      <c r="H5">
        <v>0</v>
      </c>
      <c r="I5">
        <f>2*1.2*(5+4)</f>
        <v>21.599999999999998</v>
      </c>
      <c r="L5">
        <f>Constants!$B$2</f>
        <v>2.8</v>
      </c>
      <c r="M5" t="str">
        <f t="shared" ref="M5:M6" si="6">IF(N5&gt;0,G5,"N/A")</f>
        <v>N/A</v>
      </c>
      <c r="N5">
        <f>P5*Constants!$E$2</f>
        <v>0</v>
      </c>
      <c r="P5">
        <f>H5</f>
        <v>0</v>
      </c>
      <c r="Q5">
        <f>P5*Constants!$B$3</f>
        <v>0</v>
      </c>
      <c r="R5">
        <f>IF(Q5-N5&lt;=0, 0, Q5-N5)</f>
        <v>0</v>
      </c>
      <c r="S5">
        <f>I5-P5</f>
        <v>21.599999999999998</v>
      </c>
      <c r="T5">
        <f>S5*Constants!$B$2</f>
        <v>60.47999999999999</v>
      </c>
      <c r="V5">
        <f>IF(B5="E",1,0)</f>
        <v>0</v>
      </c>
      <c r="W5">
        <f>IF(B5=10,1,0)</f>
        <v>0</v>
      </c>
      <c r="AA5" s="8"/>
      <c r="AJ5" s="4"/>
    </row>
    <row r="6" spans="1:40" x14ac:dyDescent="0.25">
      <c r="A6">
        <v>5</v>
      </c>
      <c r="B6">
        <v>9</v>
      </c>
      <c r="C6" t="s">
        <v>45</v>
      </c>
      <c r="D6" s="16" t="s">
        <v>541</v>
      </c>
      <c r="F6">
        <v>10.6</v>
      </c>
      <c r="G6" t="s">
        <v>44</v>
      </c>
      <c r="H6">
        <v>0</v>
      </c>
      <c r="I6">
        <f>2*1.2*(2+4)</f>
        <v>14.399999999999999</v>
      </c>
      <c r="L6">
        <f>Constants!$B$2</f>
        <v>2.8</v>
      </c>
      <c r="M6" t="str">
        <f t="shared" si="6"/>
        <v>N/A</v>
      </c>
      <c r="N6">
        <f>P6*Constants!$E$2</f>
        <v>0</v>
      </c>
      <c r="P6">
        <f t="shared" ref="P6" si="7">H6</f>
        <v>0</v>
      </c>
      <c r="Q6">
        <f>P6*Constants!$B$3</f>
        <v>0</v>
      </c>
      <c r="R6">
        <f t="shared" ref="R6" si="8">IF(Q6-N6&lt;=0, 0, Q6-N6)</f>
        <v>0</v>
      </c>
      <c r="S6">
        <f t="shared" ref="S6" si="9">I6-P6</f>
        <v>14.399999999999999</v>
      </c>
      <c r="T6">
        <f>S6*Constants!$B$2</f>
        <v>40.319999999999993</v>
      </c>
      <c r="V6">
        <f t="shared" ref="V6" si="10">IF(B6="E",1,0)</f>
        <v>0</v>
      </c>
      <c r="W6">
        <f t="shared" ref="W6" si="11">IF(B6=10,1,0)</f>
        <v>0</v>
      </c>
      <c r="AA6" s="8"/>
      <c r="AJ6" s="4"/>
    </row>
    <row r="7" spans="1:40" x14ac:dyDescent="0.25">
      <c r="D7" s="15"/>
    </row>
    <row r="8" spans="1:40" x14ac:dyDescent="0.25">
      <c r="D8" s="15"/>
    </row>
    <row r="9" spans="1:40" x14ac:dyDescent="0.25">
      <c r="D9" s="15"/>
    </row>
    <row r="10" spans="1:40" x14ac:dyDescent="0.25">
      <c r="D10" s="15"/>
    </row>
    <row r="11" spans="1:40" x14ac:dyDescent="0.25">
      <c r="D11" s="15"/>
    </row>
    <row r="12" spans="1:40" x14ac:dyDescent="0.25">
      <c r="D12" s="15"/>
    </row>
    <row r="13" spans="1:40" x14ac:dyDescent="0.25">
      <c r="D13" s="15"/>
    </row>
    <row r="14" spans="1:40" x14ac:dyDescent="0.25">
      <c r="D14" s="15"/>
    </row>
    <row r="15" spans="1:40" x14ac:dyDescent="0.25">
      <c r="D15" s="15"/>
    </row>
    <row r="16" spans="1:40" x14ac:dyDescent="0.25">
      <c r="D16" s="15"/>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4"/>
    </row>
    <row r="376" spans="4:4" x14ac:dyDescent="0.25">
      <c r="D376" s="14"/>
    </row>
    <row r="377" spans="4:4" x14ac:dyDescent="0.25">
      <c r="D377" s="13"/>
    </row>
    <row r="378" spans="4:4" x14ac:dyDescent="0.25">
      <c r="D378" s="13"/>
    </row>
    <row r="379" spans="4:4" x14ac:dyDescent="0.25">
      <c r="D379" s="13"/>
    </row>
    <row r="380" spans="4:4" x14ac:dyDescent="0.25">
      <c r="D380" s="13"/>
    </row>
    <row r="381" spans="4:4" x14ac:dyDescent="0.25">
      <c r="D381" s="13"/>
    </row>
    <row r="382" spans="4:4" x14ac:dyDescent="0.25">
      <c r="D382" s="13"/>
    </row>
    <row r="383" spans="4:4" x14ac:dyDescent="0.25">
      <c r="D383" s="13"/>
    </row>
    <row r="384" spans="4:4" x14ac:dyDescent="0.25">
      <c r="D384" s="13"/>
    </row>
  </sheetData>
  <phoneticPr fontId="5" type="noConversion"/>
  <pageMargins left="0.7" right="0.7" top="0.78740157499999996" bottom="0.78740157499999996"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activeCell="B19" sqref="B19"/>
    </sheetView>
  </sheetViews>
  <sheetFormatPr baseColWidth="10" defaultRowHeight="15" x14ac:dyDescent="0.25"/>
  <cols>
    <col min="1" max="1" width="17.140625" bestFit="1" customWidth="1"/>
    <col min="2" max="2" width="15.42578125" bestFit="1" customWidth="1"/>
  </cols>
  <sheetData>
    <row r="1" spans="1:2" x14ac:dyDescent="0.25">
      <c r="A1" s="2" t="s">
        <v>42</v>
      </c>
      <c r="B1" s="2" t="s">
        <v>47</v>
      </c>
    </row>
    <row r="2" spans="1:2" x14ac:dyDescent="0.25">
      <c r="A2" t="s">
        <v>43</v>
      </c>
      <c r="B2" t="s">
        <v>50</v>
      </c>
    </row>
    <row r="3" spans="1:2" x14ac:dyDescent="0.25">
      <c r="A3" t="s">
        <v>46</v>
      </c>
      <c r="B3" t="s">
        <v>45</v>
      </c>
    </row>
    <row r="4" spans="1:2" x14ac:dyDescent="0.25">
      <c r="A4" t="s">
        <v>48</v>
      </c>
      <c r="B4" t="s">
        <v>49</v>
      </c>
    </row>
    <row r="5" spans="1:2" x14ac:dyDescent="0.25">
      <c r="A5" t="s">
        <v>53</v>
      </c>
      <c r="B5" t="s">
        <v>54</v>
      </c>
    </row>
    <row r="6" spans="1:2" x14ac:dyDescent="0.25">
      <c r="A6" t="s">
        <v>56</v>
      </c>
      <c r="B6" t="s">
        <v>55</v>
      </c>
    </row>
    <row r="7" spans="1:2" x14ac:dyDescent="0.25">
      <c r="A7" t="s">
        <v>65</v>
      </c>
      <c r="B7" t="s">
        <v>57</v>
      </c>
    </row>
    <row r="8" spans="1:2" x14ac:dyDescent="0.25">
      <c r="A8" t="s">
        <v>58</v>
      </c>
      <c r="B8" t="s">
        <v>59</v>
      </c>
    </row>
    <row r="9" spans="1:2" x14ac:dyDescent="0.25">
      <c r="A9" t="s">
        <v>60</v>
      </c>
      <c r="B9" t="s">
        <v>61</v>
      </c>
    </row>
    <row r="10" spans="1:2" x14ac:dyDescent="0.25">
      <c r="A10" t="s">
        <v>63</v>
      </c>
      <c r="B10" t="s">
        <v>62</v>
      </c>
    </row>
    <row r="11" spans="1:2" x14ac:dyDescent="0.25">
      <c r="A11" t="s">
        <v>68</v>
      </c>
      <c r="B11" t="s">
        <v>67</v>
      </c>
    </row>
    <row r="12" spans="1:2" x14ac:dyDescent="0.25">
      <c r="A12" t="s">
        <v>71</v>
      </c>
      <c r="B12" t="s">
        <v>66</v>
      </c>
    </row>
    <row r="13" spans="1:2" x14ac:dyDescent="0.25">
      <c r="A13" t="s">
        <v>72</v>
      </c>
      <c r="B13" t="s">
        <v>64</v>
      </c>
    </row>
    <row r="14" spans="1:2" x14ac:dyDescent="0.25">
      <c r="A14" t="s">
        <v>74</v>
      </c>
      <c r="B14" t="s">
        <v>73</v>
      </c>
    </row>
    <row r="15" spans="1:2" x14ac:dyDescent="0.25">
      <c r="A15" t="s">
        <v>915</v>
      </c>
      <c r="B15" t="s">
        <v>182</v>
      </c>
    </row>
    <row r="16" spans="1:2" x14ac:dyDescent="0.25">
      <c r="A16" t="s">
        <v>916</v>
      </c>
      <c r="B16" t="s">
        <v>917</v>
      </c>
    </row>
  </sheetData>
  <pageMargins left="0.7" right="0.7" top="0.78740157499999996" bottom="0.78740157499999996"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83"/>
  <sheetViews>
    <sheetView zoomScaleNormal="100" workbookViewId="0">
      <pane xSplit="4" ySplit="1" topLeftCell="H2" activePane="bottomRight" state="frozen"/>
      <selection pane="topRight" activeCell="F1" sqref="F1"/>
      <selection pane="bottomLeft" activeCell="A2" sqref="A2"/>
      <selection pane="bottomRight" activeCell="A2" sqref="A2:A1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s="17" t="s">
        <v>62</v>
      </c>
      <c r="D2" s="16" t="s">
        <v>542</v>
      </c>
      <c r="F2">
        <v>95.23</v>
      </c>
      <c r="G2" t="s">
        <v>44</v>
      </c>
      <c r="H2">
        <v>0</v>
      </c>
      <c r="I2">
        <f>2*(28.8+2.9)</f>
        <v>63.4</v>
      </c>
      <c r="L2">
        <f>Constants!$B$2</f>
        <v>2.8</v>
      </c>
      <c r="M2" t="str">
        <f t="shared" ref="M2:M14" si="0">IF(N2&gt;0,G2,"N/A")</f>
        <v>N/A</v>
      </c>
      <c r="N2">
        <f>P2*Constants!$E$2</f>
        <v>0</v>
      </c>
      <c r="P2">
        <f>H2</f>
        <v>0</v>
      </c>
      <c r="Q2">
        <f>P2*Constants!$B$3</f>
        <v>0</v>
      </c>
      <c r="R2">
        <f>IF(Q2-N2&lt;=0, 0, Q2-N2)</f>
        <v>0</v>
      </c>
      <c r="S2">
        <f>I2-P2</f>
        <v>63.4</v>
      </c>
      <c r="T2">
        <f>S2*Constants!$B$2</f>
        <v>177.51999999999998</v>
      </c>
      <c r="V2">
        <f>IF(B2="E",1,0)</f>
        <v>0</v>
      </c>
      <c r="W2">
        <f>IF(B2=10,1,0)</f>
        <v>0</v>
      </c>
      <c r="AA2" s="8"/>
      <c r="AJ2" s="4"/>
    </row>
    <row r="3" spans="1:40" x14ac:dyDescent="0.25">
      <c r="A3">
        <v>2</v>
      </c>
      <c r="B3">
        <v>9</v>
      </c>
      <c r="C3" t="s">
        <v>62</v>
      </c>
      <c r="D3" s="16" t="s">
        <v>543</v>
      </c>
      <c r="F3">
        <v>32.17</v>
      </c>
      <c r="G3" t="s">
        <v>44</v>
      </c>
      <c r="H3">
        <v>0</v>
      </c>
      <c r="I3">
        <f>2*1.2*(7+3.5)</f>
        <v>25.2</v>
      </c>
      <c r="L3">
        <f>Constants!$B$2</f>
        <v>2.8</v>
      </c>
      <c r="M3" t="str">
        <f t="shared" ref="M3" si="1">IF(N3&gt;0,G3,"N/A")</f>
        <v>N/A</v>
      </c>
      <c r="N3">
        <f>P3*Constants!$E$2</f>
        <v>0</v>
      </c>
      <c r="P3">
        <f t="shared" ref="P3" si="2">H3</f>
        <v>0</v>
      </c>
      <c r="Q3">
        <f>P3*Constants!$B$3</f>
        <v>0</v>
      </c>
      <c r="R3">
        <f t="shared" ref="R3" si="3">IF(Q3-N3&lt;=0, 0, Q3-N3)</f>
        <v>0</v>
      </c>
      <c r="S3">
        <f t="shared" ref="S3" si="4">I3-P3</f>
        <v>25.2</v>
      </c>
      <c r="T3">
        <f>S3*Constants!$B$2</f>
        <v>70.559999999999988</v>
      </c>
      <c r="V3">
        <f t="shared" ref="V3" si="5">IF(B3="E",1,0)</f>
        <v>0</v>
      </c>
      <c r="W3">
        <f t="shared" ref="W3" si="6">IF(B3=10,1,0)</f>
        <v>0</v>
      </c>
      <c r="AA3" s="8"/>
      <c r="AJ3" s="4"/>
    </row>
    <row r="4" spans="1:40" x14ac:dyDescent="0.25">
      <c r="A4">
        <v>3</v>
      </c>
      <c r="B4">
        <v>9</v>
      </c>
      <c r="C4" t="s">
        <v>59</v>
      </c>
      <c r="D4" s="16" t="s">
        <v>544</v>
      </c>
      <c r="F4">
        <v>17.46</v>
      </c>
      <c r="G4" t="s">
        <v>44</v>
      </c>
      <c r="H4">
        <v>0</v>
      </c>
      <c r="I4">
        <f>2*1.2*(3+4.5)</f>
        <v>18</v>
      </c>
      <c r="L4">
        <f>Constants!$B$2</f>
        <v>2.8</v>
      </c>
      <c r="M4" t="str">
        <f t="shared" si="0"/>
        <v>N/A</v>
      </c>
      <c r="N4">
        <f>P4*Constants!$E$2</f>
        <v>0</v>
      </c>
      <c r="P4">
        <f t="shared" ref="P4:P14" si="7">H4</f>
        <v>0</v>
      </c>
      <c r="Q4">
        <f>P4*Constants!$B$3</f>
        <v>0</v>
      </c>
      <c r="R4">
        <f t="shared" ref="R4:R14" si="8">IF(Q4-N4&lt;=0, 0, Q4-N4)</f>
        <v>0</v>
      </c>
      <c r="S4">
        <f t="shared" ref="S4:S14" si="9">I4-P4</f>
        <v>18</v>
      </c>
      <c r="T4">
        <f>S4*Constants!$B$2</f>
        <v>50.4</v>
      </c>
      <c r="V4">
        <f t="shared" ref="V4:V14" si="10">IF(B4="E",1,0)</f>
        <v>0</v>
      </c>
      <c r="W4">
        <f t="shared" ref="W4:W14" si="11">IF(B4=10,1,0)</f>
        <v>0</v>
      </c>
      <c r="AA4" s="8"/>
      <c r="AJ4" s="4"/>
    </row>
    <row r="5" spans="1:40" x14ac:dyDescent="0.25">
      <c r="A5">
        <v>4</v>
      </c>
      <c r="B5">
        <v>9</v>
      </c>
      <c r="C5" t="s">
        <v>67</v>
      </c>
      <c r="D5" s="16" t="s">
        <v>545</v>
      </c>
      <c r="F5">
        <v>9.26</v>
      </c>
      <c r="G5" t="s">
        <v>44</v>
      </c>
      <c r="H5">
        <v>0</v>
      </c>
      <c r="I5">
        <f>2*1.2*(2.5+3)</f>
        <v>13.2</v>
      </c>
      <c r="L5">
        <f>Constants!$B$2</f>
        <v>2.8</v>
      </c>
      <c r="M5" t="str">
        <f t="shared" si="0"/>
        <v>N/A</v>
      </c>
      <c r="N5">
        <f>P5*Constants!$E$2</f>
        <v>0</v>
      </c>
      <c r="P5">
        <f t="shared" si="7"/>
        <v>0</v>
      </c>
      <c r="Q5">
        <f>P5*Constants!$B$3</f>
        <v>0</v>
      </c>
      <c r="R5">
        <f t="shared" si="8"/>
        <v>0</v>
      </c>
      <c r="S5">
        <f t="shared" si="9"/>
        <v>13.2</v>
      </c>
      <c r="T5">
        <f>S5*Constants!$B$2</f>
        <v>36.959999999999994</v>
      </c>
      <c r="V5">
        <f t="shared" si="10"/>
        <v>0</v>
      </c>
      <c r="W5">
        <f t="shared" si="11"/>
        <v>0</v>
      </c>
      <c r="AA5" s="8"/>
      <c r="AJ5" s="4"/>
    </row>
    <row r="6" spans="1:40" x14ac:dyDescent="0.25">
      <c r="A6">
        <v>5</v>
      </c>
      <c r="B6">
        <v>9</v>
      </c>
      <c r="C6" t="s">
        <v>67</v>
      </c>
      <c r="D6" s="16" t="s">
        <v>546</v>
      </c>
      <c r="E6" s="16"/>
      <c r="F6">
        <v>11.18</v>
      </c>
      <c r="G6" t="s">
        <v>44</v>
      </c>
      <c r="H6">
        <v>0</v>
      </c>
      <c r="I6">
        <f>2*1.2*(6)</f>
        <v>14.399999999999999</v>
      </c>
      <c r="L6">
        <f>Constants!$B$2</f>
        <v>2.8</v>
      </c>
      <c r="M6" t="str">
        <f t="shared" si="0"/>
        <v>N/A</v>
      </c>
      <c r="N6">
        <f>P6*Constants!$E$2</f>
        <v>0</v>
      </c>
      <c r="P6">
        <f t="shared" si="7"/>
        <v>0</v>
      </c>
      <c r="Q6">
        <f>P6*Constants!$B$3</f>
        <v>0</v>
      </c>
      <c r="R6">
        <f t="shared" si="8"/>
        <v>0</v>
      </c>
      <c r="S6">
        <f t="shared" si="9"/>
        <v>14.399999999999999</v>
      </c>
      <c r="T6">
        <f>S6*Constants!$B$2</f>
        <v>40.319999999999993</v>
      </c>
      <c r="V6">
        <f t="shared" si="10"/>
        <v>0</v>
      </c>
      <c r="W6">
        <f t="shared" si="11"/>
        <v>0</v>
      </c>
      <c r="AA6" s="8"/>
      <c r="AJ6" s="4"/>
    </row>
    <row r="7" spans="1:40" x14ac:dyDescent="0.25">
      <c r="A7">
        <v>6</v>
      </c>
      <c r="B7">
        <v>9</v>
      </c>
      <c r="C7" t="s">
        <v>45</v>
      </c>
      <c r="D7" s="16" t="s">
        <v>547</v>
      </c>
      <c r="E7" s="16"/>
      <c r="F7">
        <v>13.4</v>
      </c>
      <c r="G7" t="s">
        <v>44</v>
      </c>
      <c r="H7">
        <v>0</v>
      </c>
      <c r="I7">
        <f>2*1.2*(3+3.5)</f>
        <v>15.6</v>
      </c>
      <c r="L7">
        <f>Constants!$B$2</f>
        <v>2.8</v>
      </c>
      <c r="M7" t="str">
        <f t="shared" si="0"/>
        <v>N/A</v>
      </c>
      <c r="N7">
        <f>P7*Constants!$E$2</f>
        <v>0</v>
      </c>
      <c r="P7">
        <f t="shared" si="7"/>
        <v>0</v>
      </c>
      <c r="Q7">
        <f>P7*Constants!$B$3</f>
        <v>0</v>
      </c>
      <c r="R7">
        <f t="shared" si="8"/>
        <v>0</v>
      </c>
      <c r="S7">
        <f t="shared" si="9"/>
        <v>15.6</v>
      </c>
      <c r="T7">
        <f>S7*Constants!$B$2</f>
        <v>43.68</v>
      </c>
      <c r="V7">
        <f t="shared" si="10"/>
        <v>0</v>
      </c>
      <c r="W7">
        <f t="shared" si="11"/>
        <v>0</v>
      </c>
      <c r="AA7" s="8"/>
      <c r="AJ7" s="4"/>
    </row>
    <row r="8" spans="1:40" x14ac:dyDescent="0.25">
      <c r="A8">
        <v>7</v>
      </c>
      <c r="B8">
        <v>9</v>
      </c>
      <c r="C8" t="s">
        <v>64</v>
      </c>
      <c r="D8" s="16" t="s">
        <v>548</v>
      </c>
      <c r="E8" s="16"/>
      <c r="F8">
        <v>3.81</v>
      </c>
      <c r="G8" t="s">
        <v>44</v>
      </c>
      <c r="H8">
        <v>0</v>
      </c>
      <c r="I8">
        <v>8.5500000000000007</v>
      </c>
      <c r="L8">
        <f>Constants!$B$2</f>
        <v>2.8</v>
      </c>
      <c r="M8" t="str">
        <f t="shared" si="0"/>
        <v>N/A</v>
      </c>
      <c r="N8">
        <f>P8*Constants!$E$2</f>
        <v>0</v>
      </c>
      <c r="P8">
        <f t="shared" si="7"/>
        <v>0</v>
      </c>
      <c r="Q8">
        <f>P8*Constants!$B$3</f>
        <v>0</v>
      </c>
      <c r="R8">
        <f t="shared" si="8"/>
        <v>0</v>
      </c>
      <c r="S8">
        <f t="shared" si="9"/>
        <v>8.5500000000000007</v>
      </c>
      <c r="T8">
        <f>S8*Constants!$B$2</f>
        <v>23.94</v>
      </c>
      <c r="V8">
        <f t="shared" si="10"/>
        <v>0</v>
      </c>
      <c r="W8">
        <f t="shared" si="11"/>
        <v>0</v>
      </c>
      <c r="AA8" s="8"/>
      <c r="AJ8" s="4"/>
    </row>
    <row r="9" spans="1:40" x14ac:dyDescent="0.25">
      <c r="A9">
        <v>8</v>
      </c>
      <c r="B9">
        <v>9</v>
      </c>
      <c r="C9" t="s">
        <v>64</v>
      </c>
      <c r="D9" s="16" t="s">
        <v>554</v>
      </c>
      <c r="E9" s="16"/>
      <c r="F9">
        <v>3.81</v>
      </c>
      <c r="G9" t="s">
        <v>44</v>
      </c>
      <c r="H9">
        <v>0</v>
      </c>
      <c r="I9">
        <v>8.5500000000000007</v>
      </c>
      <c r="L9">
        <f>Constants!$B$2</f>
        <v>2.8</v>
      </c>
      <c r="M9" t="str">
        <f t="shared" ref="M9" si="12">IF(N9&gt;0,G9,"N/A")</f>
        <v>N/A</v>
      </c>
      <c r="N9">
        <f>P9*Constants!$E$2</f>
        <v>0</v>
      </c>
      <c r="P9">
        <f t="shared" ref="P9" si="13">H9</f>
        <v>0</v>
      </c>
      <c r="Q9">
        <f>P9*Constants!$B$3</f>
        <v>0</v>
      </c>
      <c r="R9">
        <f t="shared" ref="R9" si="14">IF(Q9-N9&lt;=0, 0, Q9-N9)</f>
        <v>0</v>
      </c>
      <c r="S9">
        <f t="shared" ref="S9" si="15">I9-P9</f>
        <v>8.5500000000000007</v>
      </c>
      <c r="T9">
        <f>S9*Constants!$B$2</f>
        <v>23.94</v>
      </c>
      <c r="V9">
        <f t="shared" ref="V9" si="16">IF(B9="E",1,0)</f>
        <v>0</v>
      </c>
      <c r="W9">
        <f t="shared" ref="W9" si="17">IF(B9=10,1,0)</f>
        <v>0</v>
      </c>
      <c r="AA9" s="8"/>
      <c r="AJ9" s="4"/>
    </row>
    <row r="10" spans="1:40" x14ac:dyDescent="0.25">
      <c r="A10">
        <v>9</v>
      </c>
      <c r="B10">
        <v>9</v>
      </c>
      <c r="C10" t="s">
        <v>54</v>
      </c>
      <c r="D10" s="16" t="s">
        <v>549</v>
      </c>
      <c r="E10" s="16"/>
      <c r="F10">
        <v>29.99</v>
      </c>
      <c r="G10" t="s">
        <v>44</v>
      </c>
      <c r="H10">
        <v>0</v>
      </c>
      <c r="I10">
        <f>2*1.2*(5.5+4)</f>
        <v>22.8</v>
      </c>
      <c r="L10">
        <f>Constants!$B$2</f>
        <v>2.8</v>
      </c>
      <c r="M10" t="str">
        <f t="shared" ref="M10" si="18">IF(N10&gt;0,G10,"N/A")</f>
        <v>N/A</v>
      </c>
      <c r="N10">
        <f>P10*Constants!$E$2</f>
        <v>0</v>
      </c>
      <c r="P10">
        <f t="shared" ref="P10" si="19">H10</f>
        <v>0</v>
      </c>
      <c r="Q10">
        <f>P10*Constants!$B$3</f>
        <v>0</v>
      </c>
      <c r="R10">
        <f t="shared" ref="R10" si="20">IF(Q10-N10&lt;=0, 0, Q10-N10)</f>
        <v>0</v>
      </c>
      <c r="S10">
        <f t="shared" ref="S10" si="21">I10-P10</f>
        <v>22.8</v>
      </c>
      <c r="T10">
        <f>S10*Constants!$B$2</f>
        <v>63.839999999999996</v>
      </c>
      <c r="V10">
        <f t="shared" ref="V10" si="22">IF(B10="E",1,0)</f>
        <v>0</v>
      </c>
      <c r="W10">
        <f t="shared" ref="W10" si="23">IF(B10=10,1,0)</f>
        <v>0</v>
      </c>
      <c r="AA10" s="8"/>
      <c r="AJ10" s="4"/>
    </row>
    <row r="11" spans="1:40" x14ac:dyDescent="0.25">
      <c r="A11">
        <v>10</v>
      </c>
      <c r="B11">
        <v>9</v>
      </c>
      <c r="C11" t="s">
        <v>67</v>
      </c>
      <c r="D11" s="16" t="s">
        <v>550</v>
      </c>
      <c r="E11" s="16"/>
      <c r="F11">
        <v>5.69</v>
      </c>
      <c r="G11" t="s">
        <v>44</v>
      </c>
      <c r="H11">
        <v>0</v>
      </c>
      <c r="I11">
        <f>2*1.2*(1.5+3)</f>
        <v>10.799999999999999</v>
      </c>
      <c r="L11">
        <f>Constants!$B$2</f>
        <v>2.8</v>
      </c>
      <c r="M11" t="str">
        <f t="shared" si="0"/>
        <v>N/A</v>
      </c>
      <c r="N11">
        <f>P11*Constants!$E$2</f>
        <v>0</v>
      </c>
      <c r="P11">
        <f t="shared" si="7"/>
        <v>0</v>
      </c>
      <c r="Q11">
        <f>P11*Constants!$B$3</f>
        <v>0</v>
      </c>
      <c r="R11">
        <f t="shared" si="8"/>
        <v>0</v>
      </c>
      <c r="S11">
        <f t="shared" si="9"/>
        <v>10.799999999999999</v>
      </c>
      <c r="T11">
        <f>S11*Constants!$B$2</f>
        <v>30.239999999999995</v>
      </c>
      <c r="V11">
        <f t="shared" si="10"/>
        <v>0</v>
      </c>
      <c r="W11">
        <f t="shared" si="11"/>
        <v>0</v>
      </c>
      <c r="AA11" s="8"/>
      <c r="AJ11" s="4"/>
    </row>
    <row r="12" spans="1:40" x14ac:dyDescent="0.25">
      <c r="A12">
        <v>11</v>
      </c>
      <c r="B12">
        <v>9</v>
      </c>
      <c r="C12" t="s">
        <v>54</v>
      </c>
      <c r="D12" s="16" t="s">
        <v>551</v>
      </c>
      <c r="F12">
        <v>9.83</v>
      </c>
      <c r="G12" t="s">
        <v>44</v>
      </c>
      <c r="H12">
        <v>0</v>
      </c>
      <c r="I12">
        <f>2*1.2*(2.5+3)</f>
        <v>13.2</v>
      </c>
      <c r="L12">
        <f>Constants!$B$2</f>
        <v>2.8</v>
      </c>
      <c r="M12" t="str">
        <f t="shared" si="0"/>
        <v>N/A</v>
      </c>
      <c r="N12">
        <f>P12*Constants!$E$2</f>
        <v>0</v>
      </c>
      <c r="P12">
        <f t="shared" si="7"/>
        <v>0</v>
      </c>
      <c r="Q12">
        <f>P12*Constants!$B$3</f>
        <v>0</v>
      </c>
      <c r="R12">
        <f t="shared" si="8"/>
        <v>0</v>
      </c>
      <c r="S12">
        <f t="shared" si="9"/>
        <v>13.2</v>
      </c>
      <c r="T12">
        <f>S12*Constants!$B$2</f>
        <v>36.959999999999994</v>
      </c>
      <c r="V12">
        <f t="shared" si="10"/>
        <v>0</v>
      </c>
      <c r="W12">
        <f t="shared" si="11"/>
        <v>0</v>
      </c>
      <c r="AA12" s="8"/>
      <c r="AJ12" s="4"/>
    </row>
    <row r="13" spans="1:40" x14ac:dyDescent="0.25">
      <c r="A13">
        <v>12</v>
      </c>
      <c r="B13">
        <v>9</v>
      </c>
      <c r="C13" t="s">
        <v>54</v>
      </c>
      <c r="D13" s="16" t="s">
        <v>552</v>
      </c>
      <c r="F13">
        <v>9.83</v>
      </c>
      <c r="G13" t="s">
        <v>44</v>
      </c>
      <c r="H13">
        <v>0</v>
      </c>
      <c r="I13">
        <f>2*1.2*(2.5+3)</f>
        <v>13.2</v>
      </c>
      <c r="L13">
        <f>Constants!$B$2</f>
        <v>2.8</v>
      </c>
      <c r="M13" t="str">
        <f t="shared" ref="M13" si="24">IF(N13&gt;0,G13,"N/A")</f>
        <v>N/A</v>
      </c>
      <c r="N13">
        <f>P13*Constants!$E$2</f>
        <v>0</v>
      </c>
      <c r="P13">
        <f t="shared" ref="P13" si="25">H13</f>
        <v>0</v>
      </c>
      <c r="Q13">
        <f>P13*Constants!$B$3</f>
        <v>0</v>
      </c>
      <c r="R13">
        <f t="shared" ref="R13" si="26">IF(Q13-N13&lt;=0, 0, Q13-N13)</f>
        <v>0</v>
      </c>
      <c r="S13">
        <f t="shared" ref="S13" si="27">I13-P13</f>
        <v>13.2</v>
      </c>
      <c r="T13">
        <f>S13*Constants!$B$2</f>
        <v>36.959999999999994</v>
      </c>
      <c r="V13">
        <f t="shared" ref="V13" si="28">IF(B13="E",1,0)</f>
        <v>0</v>
      </c>
      <c r="W13">
        <f t="shared" ref="W13" si="29">IF(B13=10,1,0)</f>
        <v>0</v>
      </c>
      <c r="AA13" s="8"/>
      <c r="AJ13" s="4"/>
    </row>
    <row r="14" spans="1:40" x14ac:dyDescent="0.25">
      <c r="A14">
        <v>13</v>
      </c>
      <c r="B14">
        <v>9</v>
      </c>
      <c r="C14" t="s">
        <v>54</v>
      </c>
      <c r="D14" s="16" t="s">
        <v>553</v>
      </c>
      <c r="F14">
        <v>20.18</v>
      </c>
      <c r="G14" t="s">
        <v>44</v>
      </c>
      <c r="H14">
        <v>0</v>
      </c>
      <c r="I14">
        <f>2*1.2*(3+5)</f>
        <v>19.2</v>
      </c>
      <c r="L14">
        <f>Constants!$B$2</f>
        <v>2.8</v>
      </c>
      <c r="M14" t="str">
        <f t="shared" si="0"/>
        <v>N/A</v>
      </c>
      <c r="N14">
        <f>P14*Constants!$E$2</f>
        <v>0</v>
      </c>
      <c r="P14">
        <f t="shared" si="7"/>
        <v>0</v>
      </c>
      <c r="Q14">
        <f>P14*Constants!$B$3</f>
        <v>0</v>
      </c>
      <c r="R14">
        <f t="shared" si="8"/>
        <v>0</v>
      </c>
      <c r="S14">
        <f t="shared" si="9"/>
        <v>19.2</v>
      </c>
      <c r="T14">
        <f>S14*Constants!$B$2</f>
        <v>53.76</v>
      </c>
      <c r="V14">
        <f t="shared" si="10"/>
        <v>0</v>
      </c>
      <c r="W14">
        <f t="shared" si="11"/>
        <v>0</v>
      </c>
      <c r="AA14" s="8"/>
      <c r="AJ14" s="4"/>
    </row>
    <row r="15" spans="1:40" x14ac:dyDescent="0.25">
      <c r="D15" s="15"/>
    </row>
    <row r="16" spans="1:40" x14ac:dyDescent="0.25">
      <c r="D16" s="15"/>
    </row>
    <row r="17" spans="4:4" x14ac:dyDescent="0.25">
      <c r="D17" s="15"/>
    </row>
    <row r="18" spans="4:4" x14ac:dyDescent="0.25">
      <c r="D18" s="15"/>
    </row>
    <row r="19" spans="4:4" x14ac:dyDescent="0.25">
      <c r="D19" s="15"/>
    </row>
    <row r="20" spans="4:4" x14ac:dyDescent="0.25">
      <c r="D20" s="15"/>
    </row>
    <row r="21" spans="4:4" x14ac:dyDescent="0.25">
      <c r="D21" s="15"/>
    </row>
    <row r="22" spans="4:4" x14ac:dyDescent="0.25">
      <c r="D22" s="15"/>
    </row>
    <row r="23" spans="4:4" x14ac:dyDescent="0.25">
      <c r="D23" s="15"/>
    </row>
    <row r="24" spans="4:4" x14ac:dyDescent="0.25">
      <c r="D24" s="15"/>
    </row>
    <row r="25" spans="4:4" x14ac:dyDescent="0.25">
      <c r="D25" s="15"/>
    </row>
    <row r="26" spans="4:4" x14ac:dyDescent="0.25">
      <c r="D26" s="15"/>
    </row>
    <row r="27" spans="4:4" x14ac:dyDescent="0.25">
      <c r="D27" s="15"/>
    </row>
    <row r="28" spans="4:4" x14ac:dyDescent="0.25">
      <c r="D28" s="15"/>
    </row>
    <row r="29" spans="4:4" x14ac:dyDescent="0.25">
      <c r="D29" s="15"/>
    </row>
    <row r="30" spans="4:4" x14ac:dyDescent="0.25">
      <c r="D30" s="15"/>
    </row>
    <row r="31" spans="4:4" x14ac:dyDescent="0.25">
      <c r="D31" s="15"/>
    </row>
    <row r="32" spans="4:4"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4"/>
    </row>
    <row r="375" spans="4:4" x14ac:dyDescent="0.25">
      <c r="D375" s="14"/>
    </row>
    <row r="376" spans="4:4" x14ac:dyDescent="0.25">
      <c r="D376" s="13"/>
    </row>
    <row r="377" spans="4:4" x14ac:dyDescent="0.25">
      <c r="D377" s="13"/>
    </row>
    <row r="378" spans="4:4" x14ac:dyDescent="0.25">
      <c r="D378" s="13"/>
    </row>
    <row r="379" spans="4:4" x14ac:dyDescent="0.25">
      <c r="D379" s="13"/>
    </row>
    <row r="380" spans="4:4" x14ac:dyDescent="0.25">
      <c r="D380" s="13"/>
    </row>
    <row r="381" spans="4:4" x14ac:dyDescent="0.25">
      <c r="D381" s="13"/>
    </row>
    <row r="382" spans="4:4" x14ac:dyDescent="0.25">
      <c r="D382" s="13"/>
    </row>
    <row r="383" spans="4:4" x14ac:dyDescent="0.25">
      <c r="D383" s="13"/>
    </row>
  </sheetData>
  <phoneticPr fontId="5" type="noConversion"/>
  <pageMargins left="0.7" right="0.7" top="0.78740157499999996" bottom="0.78740157499999996"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75"/>
  <sheetViews>
    <sheetView zoomScaleNormal="100" workbookViewId="0">
      <pane xSplit="4" ySplit="1" topLeftCell="H2" activePane="bottomRight" state="frozen"/>
      <selection pane="topRight" activeCell="F1" sqref="F1"/>
      <selection pane="bottomLeft" activeCell="A2" sqref="A2"/>
      <selection pane="bottomRight" activeCell="C21" sqref="C21"/>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s="17" t="s">
        <v>62</v>
      </c>
      <c r="D2" s="16" t="s">
        <v>555</v>
      </c>
      <c r="F2">
        <v>34.57</v>
      </c>
      <c r="G2" t="s">
        <v>44</v>
      </c>
      <c r="H2">
        <v>0</v>
      </c>
      <c r="I2">
        <f>1.2*2*(2.5+12)</f>
        <v>34.799999999999997</v>
      </c>
      <c r="L2">
        <f>Constants!$B$2</f>
        <v>2.8</v>
      </c>
      <c r="M2" t="str">
        <f t="shared" ref="M2:M18" si="0">IF(N2&gt;0,G2,"N/A")</f>
        <v>N/A</v>
      </c>
      <c r="N2">
        <f>P2*Constants!$E$2</f>
        <v>0</v>
      </c>
      <c r="P2">
        <f>H2</f>
        <v>0</v>
      </c>
      <c r="Q2">
        <f>P2*Constants!$B$3</f>
        <v>0</v>
      </c>
      <c r="R2">
        <f>IF(Q2-N2&lt;=0, 0, Q2-N2)</f>
        <v>0</v>
      </c>
      <c r="S2">
        <f>I2-P2</f>
        <v>34.799999999999997</v>
      </c>
      <c r="T2">
        <f>S2*Constants!$B$2</f>
        <v>97.439999999999984</v>
      </c>
      <c r="V2">
        <f>IF(B2="E",1,0)</f>
        <v>0</v>
      </c>
      <c r="W2">
        <f>IF(B2=10,1,0)</f>
        <v>0</v>
      </c>
      <c r="AA2" s="8"/>
      <c r="AJ2" s="4"/>
    </row>
    <row r="3" spans="1:40" x14ac:dyDescent="0.25">
      <c r="A3">
        <v>2</v>
      </c>
      <c r="B3">
        <v>9</v>
      </c>
      <c r="C3" t="s">
        <v>62</v>
      </c>
      <c r="D3" s="16" t="s">
        <v>562</v>
      </c>
      <c r="F3">
        <v>10</v>
      </c>
      <c r="G3" t="s">
        <v>44</v>
      </c>
      <c r="H3">
        <v>0</v>
      </c>
      <c r="I3">
        <f>2*1.2*(3+2.5)</f>
        <v>13.2</v>
      </c>
      <c r="L3">
        <f>Constants!$B$2</f>
        <v>2.8</v>
      </c>
      <c r="M3" t="str">
        <f t="shared" ref="M3:M4" si="1">IF(N3&gt;0,G3,"N/A")</f>
        <v>N/A</v>
      </c>
      <c r="N3">
        <f>P3*Constants!$E$2</f>
        <v>0</v>
      </c>
      <c r="P3">
        <f t="shared" ref="P3:P4" si="2">H3</f>
        <v>0</v>
      </c>
      <c r="Q3">
        <f>P3*Constants!$B$3</f>
        <v>0</v>
      </c>
      <c r="R3">
        <f t="shared" ref="R3:R4" si="3">IF(Q3-N3&lt;=0, 0, Q3-N3)</f>
        <v>0</v>
      </c>
      <c r="S3">
        <f t="shared" ref="S3:S4" si="4">I3-P3</f>
        <v>13.2</v>
      </c>
      <c r="T3">
        <f>S3*Constants!$B$2</f>
        <v>36.959999999999994</v>
      </c>
      <c r="V3">
        <f t="shared" ref="V3:V4" si="5">IF(B3="E",1,0)</f>
        <v>0</v>
      </c>
      <c r="W3">
        <f t="shared" ref="W3:W4" si="6">IF(B3=10,1,0)</f>
        <v>0</v>
      </c>
      <c r="AA3" s="8"/>
      <c r="AJ3" s="4"/>
    </row>
    <row r="4" spans="1:40" x14ac:dyDescent="0.25">
      <c r="A4">
        <v>3</v>
      </c>
      <c r="B4">
        <v>9</v>
      </c>
      <c r="C4" t="s">
        <v>49</v>
      </c>
      <c r="D4" s="16" t="s">
        <v>563</v>
      </c>
      <c r="E4" s="16"/>
      <c r="F4">
        <v>17.16</v>
      </c>
      <c r="G4">
        <v>90</v>
      </c>
      <c r="H4">
        <v>3.6</v>
      </c>
      <c r="I4">
        <f>2*1.2*(4.1+3)</f>
        <v>17.04</v>
      </c>
      <c r="L4">
        <f>Constants!$B$2</f>
        <v>2.8</v>
      </c>
      <c r="M4">
        <f t="shared" si="1"/>
        <v>90</v>
      </c>
      <c r="N4">
        <f>P4*Constants!$E$2</f>
        <v>6.12</v>
      </c>
      <c r="P4">
        <f t="shared" si="2"/>
        <v>3.6</v>
      </c>
      <c r="Q4">
        <f>P4*Constants!$B$3</f>
        <v>15.119999999999997</v>
      </c>
      <c r="R4">
        <f t="shared" si="3"/>
        <v>8.9999999999999964</v>
      </c>
      <c r="S4">
        <f t="shared" si="4"/>
        <v>13.44</v>
      </c>
      <c r="T4">
        <f>S4*Constants!$B$2</f>
        <v>37.631999999999998</v>
      </c>
      <c r="V4">
        <f t="shared" si="5"/>
        <v>0</v>
      </c>
      <c r="W4">
        <f t="shared" si="6"/>
        <v>0</v>
      </c>
      <c r="AA4" s="8"/>
      <c r="AJ4" s="4"/>
    </row>
    <row r="5" spans="1:40" x14ac:dyDescent="0.25">
      <c r="A5">
        <v>4</v>
      </c>
      <c r="B5">
        <v>9</v>
      </c>
      <c r="C5" t="s">
        <v>49</v>
      </c>
      <c r="D5" s="16" t="s">
        <v>564</v>
      </c>
      <c r="E5" s="16" t="s">
        <v>555</v>
      </c>
      <c r="F5">
        <v>16.649999999999999</v>
      </c>
      <c r="G5">
        <v>90</v>
      </c>
      <c r="H5">
        <v>3.6</v>
      </c>
      <c r="I5">
        <f>2*1.2*(4.1+3)</f>
        <v>17.04</v>
      </c>
      <c r="L5">
        <f>Constants!$B$2</f>
        <v>2.8</v>
      </c>
      <c r="M5">
        <f t="shared" si="0"/>
        <v>90</v>
      </c>
      <c r="N5">
        <f>P5*Constants!$E$2</f>
        <v>6.12</v>
      </c>
      <c r="P5">
        <f t="shared" ref="P5:P18" si="7">H5</f>
        <v>3.6</v>
      </c>
      <c r="Q5">
        <f>P5*Constants!$B$3</f>
        <v>15.119999999999997</v>
      </c>
      <c r="R5">
        <f t="shared" ref="R5:R18" si="8">IF(Q5-N5&lt;=0, 0, Q5-N5)</f>
        <v>8.9999999999999964</v>
      </c>
      <c r="S5">
        <f t="shared" ref="S5:S18" si="9">I5-P5</f>
        <v>13.44</v>
      </c>
      <c r="T5">
        <f>S5*Constants!$B$2</f>
        <v>37.631999999999998</v>
      </c>
      <c r="V5">
        <f t="shared" ref="V5:V18" si="10">IF(B5="E",1,0)</f>
        <v>0</v>
      </c>
      <c r="W5">
        <f t="shared" ref="W5:W18" si="11">IF(B5=10,1,0)</f>
        <v>0</v>
      </c>
      <c r="AA5" s="8"/>
      <c r="AJ5" s="4"/>
    </row>
    <row r="6" spans="1:40" x14ac:dyDescent="0.25">
      <c r="A6">
        <v>5</v>
      </c>
      <c r="B6">
        <v>9</v>
      </c>
      <c r="C6" t="s">
        <v>49</v>
      </c>
      <c r="D6" s="16" t="s">
        <v>565</v>
      </c>
      <c r="E6" s="16" t="s">
        <v>555</v>
      </c>
      <c r="F6">
        <v>16.649999999999999</v>
      </c>
      <c r="G6">
        <v>90</v>
      </c>
      <c r="H6">
        <v>3.6</v>
      </c>
      <c r="I6">
        <f>2*1.2*(4.1+3)</f>
        <v>17.04</v>
      </c>
      <c r="L6">
        <f>Constants!$B$2</f>
        <v>2.8</v>
      </c>
      <c r="M6">
        <f t="shared" ref="M6" si="12">IF(N6&gt;0,G6,"N/A")</f>
        <v>90</v>
      </c>
      <c r="N6">
        <f>P6*Constants!$E$2</f>
        <v>6.12</v>
      </c>
      <c r="P6">
        <f t="shared" ref="P6" si="13">H6</f>
        <v>3.6</v>
      </c>
      <c r="Q6">
        <f>P6*Constants!$B$3</f>
        <v>15.119999999999997</v>
      </c>
      <c r="R6">
        <f t="shared" ref="R6" si="14">IF(Q6-N6&lt;=0, 0, Q6-N6)</f>
        <v>8.9999999999999964</v>
      </c>
      <c r="S6">
        <f t="shared" ref="S6" si="15">I6-P6</f>
        <v>13.44</v>
      </c>
      <c r="T6">
        <f>S6*Constants!$B$2</f>
        <v>37.631999999999998</v>
      </c>
      <c r="V6">
        <f t="shared" ref="V6" si="16">IF(B6="E",1,0)</f>
        <v>0</v>
      </c>
      <c r="W6">
        <f t="shared" ref="W6" si="17">IF(B6=10,1,0)</f>
        <v>0</v>
      </c>
      <c r="AA6" s="8"/>
      <c r="AJ6" s="4"/>
    </row>
    <row r="7" spans="1:40" x14ac:dyDescent="0.25">
      <c r="A7">
        <v>6</v>
      </c>
      <c r="B7">
        <v>9</v>
      </c>
      <c r="C7" t="s">
        <v>49</v>
      </c>
      <c r="D7" s="16" t="s">
        <v>566</v>
      </c>
      <c r="E7" s="16" t="s">
        <v>555</v>
      </c>
      <c r="F7">
        <v>16.649999999999999</v>
      </c>
      <c r="G7">
        <v>90</v>
      </c>
      <c r="H7">
        <v>3.6</v>
      </c>
      <c r="I7">
        <f>2*1.2*(4.1+3)</f>
        <v>17.04</v>
      </c>
      <c r="L7">
        <f>Constants!$B$2</f>
        <v>2.8</v>
      </c>
      <c r="M7">
        <f t="shared" ref="M7" si="18">IF(N7&gt;0,G7,"N/A")</f>
        <v>90</v>
      </c>
      <c r="N7">
        <f>P7*Constants!$E$2</f>
        <v>6.12</v>
      </c>
      <c r="P7">
        <f t="shared" ref="P7" si="19">H7</f>
        <v>3.6</v>
      </c>
      <c r="Q7">
        <f>P7*Constants!$B$3</f>
        <v>15.119999999999997</v>
      </c>
      <c r="R7">
        <f t="shared" ref="R7" si="20">IF(Q7-N7&lt;=0, 0, Q7-N7)</f>
        <v>8.9999999999999964</v>
      </c>
      <c r="S7">
        <f t="shared" ref="S7" si="21">I7-P7</f>
        <v>13.44</v>
      </c>
      <c r="T7">
        <f>S7*Constants!$B$2</f>
        <v>37.631999999999998</v>
      </c>
      <c r="V7">
        <f t="shared" ref="V7" si="22">IF(B7="E",1,0)</f>
        <v>0</v>
      </c>
      <c r="W7">
        <f t="shared" ref="W7" si="23">IF(B7=10,1,0)</f>
        <v>0</v>
      </c>
      <c r="AA7" s="8"/>
      <c r="AJ7" s="4"/>
    </row>
    <row r="8" spans="1:40" x14ac:dyDescent="0.25">
      <c r="A8">
        <v>7</v>
      </c>
      <c r="B8">
        <v>9</v>
      </c>
      <c r="C8" t="s">
        <v>49</v>
      </c>
      <c r="D8" s="16" t="s">
        <v>567</v>
      </c>
      <c r="E8" s="16" t="s">
        <v>555</v>
      </c>
      <c r="F8">
        <v>16.649999999999999</v>
      </c>
      <c r="G8">
        <v>90</v>
      </c>
      <c r="H8">
        <v>3.6</v>
      </c>
      <c r="I8">
        <f>2*1.2*(4.1+3)</f>
        <v>17.04</v>
      </c>
      <c r="L8">
        <f>Constants!$B$2</f>
        <v>2.8</v>
      </c>
      <c r="M8">
        <f t="shared" ref="M8" si="24">IF(N8&gt;0,G8,"N/A")</f>
        <v>90</v>
      </c>
      <c r="N8">
        <f>P8*Constants!$E$2</f>
        <v>6.12</v>
      </c>
      <c r="P8">
        <f t="shared" ref="P8" si="25">H8</f>
        <v>3.6</v>
      </c>
      <c r="Q8">
        <f>P8*Constants!$B$3</f>
        <v>15.119999999999997</v>
      </c>
      <c r="R8">
        <f t="shared" ref="R8" si="26">IF(Q8-N8&lt;=0, 0, Q8-N8)</f>
        <v>8.9999999999999964</v>
      </c>
      <c r="S8">
        <f t="shared" ref="S8" si="27">I8-P8</f>
        <v>13.44</v>
      </c>
      <c r="T8">
        <f>S8*Constants!$B$2</f>
        <v>37.631999999999998</v>
      </c>
      <c r="V8">
        <f t="shared" ref="V8" si="28">IF(B8="E",1,0)</f>
        <v>0</v>
      </c>
      <c r="W8">
        <f t="shared" ref="W8" si="29">IF(B8=10,1,0)</f>
        <v>0</v>
      </c>
      <c r="AA8" s="8"/>
      <c r="AJ8" s="4"/>
    </row>
    <row r="9" spans="1:40" x14ac:dyDescent="0.25">
      <c r="A9">
        <v>8</v>
      </c>
      <c r="B9">
        <v>9</v>
      </c>
      <c r="C9" t="s">
        <v>55</v>
      </c>
      <c r="D9" s="16" t="s">
        <v>568</v>
      </c>
      <c r="E9" s="16"/>
      <c r="F9">
        <v>13.97</v>
      </c>
      <c r="G9">
        <v>90</v>
      </c>
      <c r="H9">
        <v>3.6</v>
      </c>
      <c r="I9">
        <f>2*1.2*(4+3)</f>
        <v>16.8</v>
      </c>
      <c r="L9">
        <f>Constants!$B$2</f>
        <v>2.8</v>
      </c>
      <c r="M9">
        <f t="shared" si="0"/>
        <v>90</v>
      </c>
      <c r="N9">
        <f>P9*Constants!$E$2</f>
        <v>6.12</v>
      </c>
      <c r="P9">
        <f t="shared" si="7"/>
        <v>3.6</v>
      </c>
      <c r="Q9">
        <f>P9*Constants!$B$3</f>
        <v>15.119999999999997</v>
      </c>
      <c r="R9">
        <f t="shared" si="8"/>
        <v>8.9999999999999964</v>
      </c>
      <c r="S9">
        <f t="shared" si="9"/>
        <v>13.200000000000001</v>
      </c>
      <c r="T9">
        <f>S9*Constants!$B$2</f>
        <v>36.96</v>
      </c>
      <c r="V9">
        <f t="shared" si="10"/>
        <v>0</v>
      </c>
      <c r="W9">
        <f t="shared" si="11"/>
        <v>0</v>
      </c>
      <c r="AA9" s="8"/>
      <c r="AJ9" s="4"/>
    </row>
    <row r="10" spans="1:40" x14ac:dyDescent="0.25">
      <c r="A10">
        <v>9</v>
      </c>
      <c r="B10">
        <v>9</v>
      </c>
      <c r="C10" t="s">
        <v>54</v>
      </c>
      <c r="D10" s="16" t="s">
        <v>569</v>
      </c>
      <c r="E10" s="16"/>
      <c r="F10">
        <v>12.5</v>
      </c>
      <c r="G10">
        <v>90</v>
      </c>
      <c r="H10">
        <v>2.4</v>
      </c>
      <c r="I10">
        <f>1.2*2*(4+3)</f>
        <v>16.8</v>
      </c>
      <c r="L10">
        <f>Constants!$B$2</f>
        <v>2.8</v>
      </c>
      <c r="M10">
        <f t="shared" si="0"/>
        <v>90</v>
      </c>
      <c r="N10">
        <f>P10*Constants!$E$2</f>
        <v>4.08</v>
      </c>
      <c r="P10">
        <f t="shared" si="7"/>
        <v>2.4</v>
      </c>
      <c r="Q10">
        <f>P10*Constants!$B$3</f>
        <v>10.079999999999998</v>
      </c>
      <c r="R10">
        <f t="shared" si="8"/>
        <v>5.9999999999999982</v>
      </c>
      <c r="S10">
        <f t="shared" si="9"/>
        <v>14.4</v>
      </c>
      <c r="T10">
        <f>S10*Constants!$B$2</f>
        <v>40.32</v>
      </c>
      <c r="V10">
        <f t="shared" si="10"/>
        <v>0</v>
      </c>
      <c r="W10">
        <f t="shared" si="11"/>
        <v>0</v>
      </c>
      <c r="AA10" s="8"/>
      <c r="AJ10" s="4"/>
    </row>
    <row r="11" spans="1:40" x14ac:dyDescent="0.25">
      <c r="A11">
        <v>10</v>
      </c>
      <c r="B11">
        <v>9</v>
      </c>
      <c r="C11" t="s">
        <v>62</v>
      </c>
      <c r="D11" s="16" t="s">
        <v>570</v>
      </c>
      <c r="E11" s="16"/>
      <c r="F11">
        <v>31.21</v>
      </c>
      <c r="G11" t="s">
        <v>44</v>
      </c>
      <c r="H11">
        <v>0</v>
      </c>
      <c r="I11">
        <f>2*1.2*(5.5+6)</f>
        <v>27.599999999999998</v>
      </c>
      <c r="L11">
        <f>Constants!$B$2</f>
        <v>2.8</v>
      </c>
      <c r="M11" t="str">
        <f t="shared" si="0"/>
        <v>N/A</v>
      </c>
      <c r="N11">
        <f>P11*Constants!$E$2</f>
        <v>0</v>
      </c>
      <c r="P11">
        <f t="shared" si="7"/>
        <v>0</v>
      </c>
      <c r="Q11">
        <f>P11*Constants!$B$3</f>
        <v>0</v>
      </c>
      <c r="R11">
        <f t="shared" si="8"/>
        <v>0</v>
      </c>
      <c r="S11">
        <f t="shared" si="9"/>
        <v>27.599999999999998</v>
      </c>
      <c r="T11">
        <f>S11*Constants!$B$2</f>
        <v>77.279999999999987</v>
      </c>
      <c r="V11">
        <f t="shared" si="10"/>
        <v>0</v>
      </c>
      <c r="W11">
        <f t="shared" si="11"/>
        <v>0</v>
      </c>
      <c r="AA11" s="8"/>
      <c r="AJ11" s="4"/>
    </row>
    <row r="12" spans="1:40" x14ac:dyDescent="0.25">
      <c r="A12">
        <v>11</v>
      </c>
      <c r="B12">
        <v>9</v>
      </c>
      <c r="C12" t="s">
        <v>49</v>
      </c>
      <c r="D12" s="16" t="s">
        <v>571</v>
      </c>
      <c r="E12" s="16"/>
      <c r="F12">
        <v>27.95</v>
      </c>
      <c r="G12">
        <v>90</v>
      </c>
      <c r="H12">
        <v>4.8</v>
      </c>
      <c r="I12">
        <f>2*1.2*(5.5+4)</f>
        <v>22.8</v>
      </c>
      <c r="L12">
        <f>Constants!$B$2</f>
        <v>2.8</v>
      </c>
      <c r="M12">
        <f t="shared" si="0"/>
        <v>90</v>
      </c>
      <c r="N12">
        <f>P12*Constants!$E$2</f>
        <v>8.16</v>
      </c>
      <c r="P12">
        <f t="shared" si="7"/>
        <v>4.8</v>
      </c>
      <c r="Q12">
        <f>P12*Constants!$B$3</f>
        <v>20.159999999999997</v>
      </c>
      <c r="R12">
        <f t="shared" si="8"/>
        <v>11.999999999999996</v>
      </c>
      <c r="S12">
        <f t="shared" si="9"/>
        <v>18</v>
      </c>
      <c r="T12">
        <f>S12*Constants!$B$2</f>
        <v>50.4</v>
      </c>
      <c r="V12">
        <f t="shared" si="10"/>
        <v>0</v>
      </c>
      <c r="W12">
        <f t="shared" si="11"/>
        <v>0</v>
      </c>
      <c r="AA12" s="8"/>
      <c r="AJ12" s="4"/>
    </row>
    <row r="13" spans="1:40" x14ac:dyDescent="0.25">
      <c r="A13">
        <v>12</v>
      </c>
      <c r="B13">
        <v>9</v>
      </c>
      <c r="C13" t="s">
        <v>67</v>
      </c>
      <c r="D13" s="16" t="s">
        <v>572</v>
      </c>
      <c r="F13">
        <v>16.04</v>
      </c>
      <c r="G13" t="s">
        <v>44</v>
      </c>
      <c r="H13">
        <v>0</v>
      </c>
      <c r="I13">
        <f>2*1.2*(3+4)</f>
        <v>16.8</v>
      </c>
      <c r="L13">
        <f>Constants!$B$2</f>
        <v>2.8</v>
      </c>
      <c r="M13" t="str">
        <f t="shared" si="0"/>
        <v>N/A</v>
      </c>
      <c r="N13">
        <f>P13*Constants!$E$2</f>
        <v>0</v>
      </c>
      <c r="P13">
        <f t="shared" si="7"/>
        <v>0</v>
      </c>
      <c r="Q13">
        <f>P13*Constants!$B$3</f>
        <v>0</v>
      </c>
      <c r="R13">
        <f t="shared" si="8"/>
        <v>0</v>
      </c>
      <c r="S13">
        <f t="shared" si="9"/>
        <v>16.8</v>
      </c>
      <c r="T13">
        <f>S13*Constants!$B$2</f>
        <v>47.04</v>
      </c>
      <c r="V13">
        <f t="shared" si="10"/>
        <v>0</v>
      </c>
      <c r="W13">
        <f t="shared" si="11"/>
        <v>0</v>
      </c>
      <c r="AA13" s="8"/>
      <c r="AJ13" s="4"/>
    </row>
    <row r="14" spans="1:40" x14ac:dyDescent="0.25">
      <c r="A14">
        <v>13</v>
      </c>
      <c r="B14">
        <v>9</v>
      </c>
      <c r="C14" t="s">
        <v>45</v>
      </c>
      <c r="D14" s="16" t="s">
        <v>573</v>
      </c>
      <c r="E14" s="16"/>
      <c r="F14">
        <v>13.25</v>
      </c>
      <c r="G14" t="s">
        <v>44</v>
      </c>
      <c r="H14">
        <v>0</v>
      </c>
      <c r="I14">
        <f>2*1.2*(3+3.5)</f>
        <v>15.6</v>
      </c>
      <c r="L14">
        <f>Constants!$B$2</f>
        <v>2.8</v>
      </c>
      <c r="M14" t="str">
        <f t="shared" ref="M14" si="30">IF(N14&gt;0,G14,"N/A")</f>
        <v>N/A</v>
      </c>
      <c r="N14">
        <f>P14*Constants!$E$2</f>
        <v>0</v>
      </c>
      <c r="P14">
        <f t="shared" ref="P14" si="31">H14</f>
        <v>0</v>
      </c>
      <c r="Q14">
        <f>P14*Constants!$B$3</f>
        <v>0</v>
      </c>
      <c r="R14">
        <f t="shared" ref="R14" si="32">IF(Q14-N14&lt;=0, 0, Q14-N14)</f>
        <v>0</v>
      </c>
      <c r="S14">
        <f t="shared" ref="S14" si="33">I14-P14</f>
        <v>15.6</v>
      </c>
      <c r="T14">
        <f>S14*Constants!$B$2</f>
        <v>43.68</v>
      </c>
      <c r="V14">
        <f t="shared" ref="V14" si="34">IF(B14="E",1,0)</f>
        <v>0</v>
      </c>
      <c r="W14">
        <f t="shared" ref="W14" si="35">IF(B14=10,1,0)</f>
        <v>0</v>
      </c>
      <c r="AA14" s="8"/>
      <c r="AJ14" s="4"/>
    </row>
    <row r="15" spans="1:40" x14ac:dyDescent="0.25">
      <c r="A15">
        <v>14</v>
      </c>
      <c r="B15">
        <v>9</v>
      </c>
      <c r="C15" t="s">
        <v>45</v>
      </c>
      <c r="D15" s="16" t="s">
        <v>556</v>
      </c>
      <c r="E15" s="16"/>
      <c r="F15">
        <v>9.11</v>
      </c>
      <c r="G15" t="s">
        <v>44</v>
      </c>
      <c r="H15">
        <v>0</v>
      </c>
      <c r="I15">
        <f>2*1.2*(2+3.5)</f>
        <v>13.2</v>
      </c>
      <c r="L15">
        <f>Constants!$B$2</f>
        <v>2.8</v>
      </c>
      <c r="M15" t="str">
        <f t="shared" si="0"/>
        <v>N/A</v>
      </c>
      <c r="N15">
        <f>P15*Constants!$E$2</f>
        <v>0</v>
      </c>
      <c r="P15">
        <f t="shared" si="7"/>
        <v>0</v>
      </c>
      <c r="Q15">
        <f>P15*Constants!$B$3</f>
        <v>0</v>
      </c>
      <c r="R15">
        <f t="shared" si="8"/>
        <v>0</v>
      </c>
      <c r="S15">
        <f t="shared" si="9"/>
        <v>13.2</v>
      </c>
      <c r="T15">
        <f>S15*Constants!$B$2</f>
        <v>36.959999999999994</v>
      </c>
      <c r="V15">
        <f t="shared" si="10"/>
        <v>0</v>
      </c>
      <c r="W15">
        <f t="shared" si="11"/>
        <v>0</v>
      </c>
      <c r="AA15" s="8"/>
      <c r="AJ15" s="4"/>
    </row>
    <row r="16" spans="1:40" x14ac:dyDescent="0.25">
      <c r="A16">
        <v>15</v>
      </c>
      <c r="B16">
        <v>9</v>
      </c>
      <c r="C16" t="s">
        <v>62</v>
      </c>
      <c r="D16" s="16" t="s">
        <v>557</v>
      </c>
      <c r="E16" s="16"/>
      <c r="F16">
        <v>4.57</v>
      </c>
      <c r="G16" t="s">
        <v>44</v>
      </c>
      <c r="H16">
        <v>0</v>
      </c>
      <c r="I16">
        <f>2*1.2*(1.5+2)</f>
        <v>8.4</v>
      </c>
      <c r="L16">
        <f>Constants!$B$2</f>
        <v>2.8</v>
      </c>
      <c r="M16" t="str">
        <f t="shared" si="0"/>
        <v>N/A</v>
      </c>
      <c r="N16">
        <f>P16*Constants!$E$2</f>
        <v>0</v>
      </c>
      <c r="P16">
        <f t="shared" si="7"/>
        <v>0</v>
      </c>
      <c r="Q16">
        <f>P16*Constants!$B$3</f>
        <v>0</v>
      </c>
      <c r="R16">
        <f t="shared" si="8"/>
        <v>0</v>
      </c>
      <c r="S16">
        <f t="shared" si="9"/>
        <v>8.4</v>
      </c>
      <c r="T16">
        <f>S16*Constants!$B$2</f>
        <v>23.52</v>
      </c>
      <c r="V16">
        <f t="shared" si="10"/>
        <v>0</v>
      </c>
      <c r="W16">
        <f t="shared" si="11"/>
        <v>0</v>
      </c>
      <c r="AA16" s="8"/>
      <c r="AJ16" s="4"/>
    </row>
    <row r="17" spans="1:36" x14ac:dyDescent="0.25">
      <c r="A17">
        <v>16</v>
      </c>
      <c r="B17">
        <v>9</v>
      </c>
      <c r="C17" t="s">
        <v>62</v>
      </c>
      <c r="D17" s="16" t="s">
        <v>558</v>
      </c>
      <c r="E17" s="16"/>
      <c r="F17">
        <v>4.57</v>
      </c>
      <c r="G17" t="s">
        <v>44</v>
      </c>
      <c r="H17">
        <v>0</v>
      </c>
      <c r="I17">
        <f>2*1.2*(1.5+2)</f>
        <v>8.4</v>
      </c>
      <c r="L17">
        <f>Constants!$B$2</f>
        <v>2.8</v>
      </c>
      <c r="M17" t="str">
        <f t="shared" ref="M17" si="36">IF(N17&gt;0,G17,"N/A")</f>
        <v>N/A</v>
      </c>
      <c r="N17">
        <f>P17*Constants!$E$2</f>
        <v>0</v>
      </c>
      <c r="P17">
        <f t="shared" ref="P17" si="37">H17</f>
        <v>0</v>
      </c>
      <c r="Q17">
        <f>P17*Constants!$B$3</f>
        <v>0</v>
      </c>
      <c r="R17">
        <f t="shared" ref="R17" si="38">IF(Q17-N17&lt;=0, 0, Q17-N17)</f>
        <v>0</v>
      </c>
      <c r="S17">
        <f t="shared" ref="S17" si="39">I17-P17</f>
        <v>8.4</v>
      </c>
      <c r="T17">
        <f>S17*Constants!$B$2</f>
        <v>23.52</v>
      </c>
      <c r="V17">
        <f t="shared" ref="V17" si="40">IF(B17="E",1,0)</f>
        <v>0</v>
      </c>
      <c r="W17">
        <f t="shared" ref="W17" si="41">IF(B17=10,1,0)</f>
        <v>0</v>
      </c>
      <c r="AA17" s="8"/>
      <c r="AJ17" s="4"/>
    </row>
    <row r="18" spans="1:36" x14ac:dyDescent="0.25">
      <c r="A18">
        <v>17</v>
      </c>
      <c r="B18">
        <v>9</v>
      </c>
      <c r="C18" t="s">
        <v>57</v>
      </c>
      <c r="D18" s="16" t="s">
        <v>559</v>
      </c>
      <c r="F18">
        <v>2.48</v>
      </c>
      <c r="G18" t="s">
        <v>44</v>
      </c>
      <c r="H18">
        <v>0</v>
      </c>
      <c r="I18">
        <f>2*1.2*(2+1)</f>
        <v>7.1999999999999993</v>
      </c>
      <c r="L18">
        <f>Constants!$B$2</f>
        <v>2.8</v>
      </c>
      <c r="M18" t="str">
        <f t="shared" si="0"/>
        <v>N/A</v>
      </c>
      <c r="N18">
        <f>P18*Constants!$E$2</f>
        <v>0</v>
      </c>
      <c r="P18">
        <f t="shared" si="7"/>
        <v>0</v>
      </c>
      <c r="Q18">
        <f>P18*Constants!$B$3</f>
        <v>0</v>
      </c>
      <c r="R18">
        <f t="shared" si="8"/>
        <v>0</v>
      </c>
      <c r="S18">
        <f t="shared" si="9"/>
        <v>7.1999999999999993</v>
      </c>
      <c r="T18">
        <f>S18*Constants!$B$2</f>
        <v>20.159999999999997</v>
      </c>
      <c r="V18">
        <f t="shared" si="10"/>
        <v>0</v>
      </c>
      <c r="W18">
        <f t="shared" si="11"/>
        <v>0</v>
      </c>
      <c r="AA18" s="8"/>
      <c r="AJ18" s="4"/>
    </row>
    <row r="19" spans="1:36" x14ac:dyDescent="0.25">
      <c r="A19">
        <v>18</v>
      </c>
      <c r="B19">
        <v>9</v>
      </c>
      <c r="C19" t="s">
        <v>64</v>
      </c>
      <c r="D19" s="16" t="s">
        <v>574</v>
      </c>
      <c r="F19">
        <v>1.73</v>
      </c>
      <c r="G19" t="s">
        <v>44</v>
      </c>
      <c r="H19">
        <v>0</v>
      </c>
      <c r="I19">
        <f>2*1.2*(1.5+1)</f>
        <v>6</v>
      </c>
      <c r="L19">
        <f>Constants!$B$2</f>
        <v>2.8</v>
      </c>
      <c r="M19" t="str">
        <f t="shared" ref="M19" si="42">IF(N19&gt;0,G19,"N/A")</f>
        <v>N/A</v>
      </c>
      <c r="N19">
        <f>P19*Constants!$E$2</f>
        <v>0</v>
      </c>
      <c r="P19">
        <f t="shared" ref="P19" si="43">H19</f>
        <v>0</v>
      </c>
      <c r="Q19">
        <f>P19*Constants!$B$3</f>
        <v>0</v>
      </c>
      <c r="R19">
        <f t="shared" ref="R19" si="44">IF(Q19-N19&lt;=0, 0, Q19-N19)</f>
        <v>0</v>
      </c>
      <c r="S19">
        <f t="shared" ref="S19" si="45">I19-P19</f>
        <v>6</v>
      </c>
      <c r="T19">
        <f>S19*Constants!$B$2</f>
        <v>16.799999999999997</v>
      </c>
      <c r="V19">
        <f t="shared" ref="V19" si="46">IF(B19="E",1,0)</f>
        <v>0</v>
      </c>
      <c r="W19">
        <f t="shared" ref="W19" si="47">IF(B19=10,1,0)</f>
        <v>0</v>
      </c>
      <c r="AA19" s="8"/>
      <c r="AJ19" s="4"/>
    </row>
    <row r="20" spans="1:36" x14ac:dyDescent="0.25">
      <c r="A20">
        <v>19</v>
      </c>
      <c r="B20">
        <v>9</v>
      </c>
      <c r="C20" t="s">
        <v>59</v>
      </c>
      <c r="D20" s="16" t="s">
        <v>575</v>
      </c>
      <c r="F20">
        <v>11.95</v>
      </c>
      <c r="G20" t="s">
        <v>44</v>
      </c>
      <c r="H20">
        <v>0</v>
      </c>
      <c r="I20">
        <f>2*1.2*(2.5+3.5)</f>
        <v>14.399999999999999</v>
      </c>
      <c r="L20">
        <f>Constants!$B$2</f>
        <v>2.8</v>
      </c>
      <c r="M20" t="str">
        <f t="shared" ref="M20:M22" si="48">IF(N20&gt;0,G20,"N/A")</f>
        <v>N/A</v>
      </c>
      <c r="N20">
        <f>P20*Constants!$E$2</f>
        <v>0</v>
      </c>
      <c r="P20">
        <f t="shared" ref="P20:P22" si="49">H20</f>
        <v>0</v>
      </c>
      <c r="Q20">
        <f>P20*Constants!$B$3</f>
        <v>0</v>
      </c>
      <c r="R20">
        <f t="shared" ref="R20:R22" si="50">IF(Q20-N20&lt;=0, 0, Q20-N20)</f>
        <v>0</v>
      </c>
      <c r="S20">
        <f t="shared" ref="S20:S22" si="51">I20-P20</f>
        <v>14.399999999999999</v>
      </c>
      <c r="T20">
        <f>S20*Constants!$B$2</f>
        <v>40.319999999999993</v>
      </c>
      <c r="V20">
        <f t="shared" ref="V20:V22" si="52">IF(B20="E",1,0)</f>
        <v>0</v>
      </c>
      <c r="W20">
        <f t="shared" ref="W20:W22" si="53">IF(B20=10,1,0)</f>
        <v>0</v>
      </c>
      <c r="AA20" s="8"/>
      <c r="AJ20" s="4"/>
    </row>
    <row r="21" spans="1:36" x14ac:dyDescent="0.25">
      <c r="A21">
        <v>20</v>
      </c>
      <c r="B21">
        <v>9</v>
      </c>
      <c r="C21" t="s">
        <v>55</v>
      </c>
      <c r="D21" s="16" t="s">
        <v>561</v>
      </c>
      <c r="F21">
        <v>9.11</v>
      </c>
      <c r="G21" t="s">
        <v>44</v>
      </c>
      <c r="H21">
        <v>0</v>
      </c>
      <c r="I21">
        <f>2*1.2*(2+3.5)</f>
        <v>13.2</v>
      </c>
      <c r="L21">
        <f>Constants!$B$2</f>
        <v>2.8</v>
      </c>
      <c r="M21" t="str">
        <f t="shared" si="48"/>
        <v>N/A</v>
      </c>
      <c r="N21">
        <f>P21*Constants!$E$2</f>
        <v>0</v>
      </c>
      <c r="P21">
        <f t="shared" si="49"/>
        <v>0</v>
      </c>
      <c r="Q21">
        <f>P21*Constants!$B$3</f>
        <v>0</v>
      </c>
      <c r="R21">
        <f t="shared" si="50"/>
        <v>0</v>
      </c>
      <c r="S21">
        <f t="shared" si="51"/>
        <v>13.2</v>
      </c>
      <c r="T21">
        <f>S21*Constants!$B$2</f>
        <v>36.959999999999994</v>
      </c>
      <c r="V21">
        <f t="shared" si="52"/>
        <v>0</v>
      </c>
      <c r="W21">
        <f t="shared" si="53"/>
        <v>0</v>
      </c>
      <c r="AA21" s="8"/>
      <c r="AJ21" s="4"/>
    </row>
    <row r="22" spans="1:36" x14ac:dyDescent="0.25">
      <c r="A22">
        <v>21</v>
      </c>
      <c r="B22">
        <v>9</v>
      </c>
      <c r="C22" t="s">
        <v>73</v>
      </c>
      <c r="D22" s="16" t="s">
        <v>560</v>
      </c>
      <c r="F22">
        <v>10.91</v>
      </c>
      <c r="G22" t="s">
        <v>44</v>
      </c>
      <c r="H22">
        <v>0</v>
      </c>
      <c r="I22">
        <f>2*1.2*(4+2.5)</f>
        <v>15.6</v>
      </c>
      <c r="L22">
        <f>Constants!$B$2</f>
        <v>2.8</v>
      </c>
      <c r="M22" t="str">
        <f t="shared" si="48"/>
        <v>N/A</v>
      </c>
      <c r="N22">
        <f>P22*Constants!$E$2</f>
        <v>0</v>
      </c>
      <c r="P22">
        <f t="shared" si="49"/>
        <v>0</v>
      </c>
      <c r="Q22">
        <f>P22*Constants!$B$3</f>
        <v>0</v>
      </c>
      <c r="R22">
        <f t="shared" si="50"/>
        <v>0</v>
      </c>
      <c r="S22">
        <f t="shared" si="51"/>
        <v>15.6</v>
      </c>
      <c r="T22">
        <f>S22*Constants!$B$2</f>
        <v>43.68</v>
      </c>
      <c r="V22">
        <f t="shared" si="52"/>
        <v>0</v>
      </c>
      <c r="W22">
        <f t="shared" si="53"/>
        <v>0</v>
      </c>
      <c r="AA22" s="8"/>
      <c r="AJ22" s="4"/>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4"/>
    </row>
    <row r="367" spans="4:4" x14ac:dyDescent="0.25">
      <c r="D367" s="14"/>
    </row>
    <row r="368" spans="4:4" x14ac:dyDescent="0.25">
      <c r="D368" s="13"/>
    </row>
    <row r="369" spans="4:4" x14ac:dyDescent="0.25">
      <c r="D369" s="13"/>
    </row>
    <row r="370" spans="4:4" x14ac:dyDescent="0.25">
      <c r="D370" s="13"/>
    </row>
    <row r="371" spans="4:4" x14ac:dyDescent="0.25">
      <c r="D371" s="13"/>
    </row>
    <row r="372" spans="4:4" x14ac:dyDescent="0.25">
      <c r="D372" s="13"/>
    </row>
    <row r="373" spans="4:4" x14ac:dyDescent="0.25">
      <c r="D373" s="13"/>
    </row>
    <row r="374" spans="4:4" x14ac:dyDescent="0.25">
      <c r="D374" s="13"/>
    </row>
    <row r="375" spans="4:4" x14ac:dyDescent="0.25">
      <c r="D375" s="13"/>
    </row>
  </sheetData>
  <phoneticPr fontId="5" type="noConversion"/>
  <pageMargins left="0.7" right="0.7" top="0.78740157499999996" bottom="0.78740157499999996"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02"/>
  <sheetViews>
    <sheetView zoomScaleNormal="100" workbookViewId="0">
      <pane xSplit="4" ySplit="1" topLeftCell="E2" activePane="bottomRight" state="frozen"/>
      <selection pane="topRight" activeCell="F1" sqref="F1"/>
      <selection pane="bottomLeft" activeCell="A2" sqref="A2"/>
      <selection pane="bottomRight" activeCell="C24" sqref="C2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s="17" t="s">
        <v>62</v>
      </c>
      <c r="D2" s="16" t="s">
        <v>576</v>
      </c>
      <c r="F2">
        <v>74.45</v>
      </c>
      <c r="G2" t="s">
        <v>44</v>
      </c>
      <c r="H2">
        <v>0</v>
      </c>
      <c r="I2">
        <f>2*1.2*(2.5+24)</f>
        <v>63.599999999999994</v>
      </c>
      <c r="L2">
        <f>Constants!$B$2</f>
        <v>2.8</v>
      </c>
      <c r="M2" t="str">
        <f t="shared" ref="M2:M22" si="0">IF(N2&gt;0,G2,"N/A")</f>
        <v>N/A</v>
      </c>
      <c r="N2">
        <f>P2*Constants!$E$2</f>
        <v>0</v>
      </c>
      <c r="P2">
        <f>H2</f>
        <v>0</v>
      </c>
      <c r="Q2">
        <f>P2*Constants!$B$3</f>
        <v>0</v>
      </c>
      <c r="R2">
        <f>IF(Q2-N2&lt;=0, 0, Q2-N2)</f>
        <v>0</v>
      </c>
      <c r="S2">
        <f>I2-P2</f>
        <v>63.599999999999994</v>
      </c>
      <c r="T2">
        <f>S2*Constants!$B$2</f>
        <v>178.07999999999998</v>
      </c>
      <c r="V2">
        <f>IF(B2="E",1,0)</f>
        <v>0</v>
      </c>
      <c r="W2">
        <f>IF(B2=10,1,0)</f>
        <v>0</v>
      </c>
      <c r="AA2" s="8"/>
      <c r="AJ2" s="4"/>
    </row>
    <row r="3" spans="1:40" x14ac:dyDescent="0.25">
      <c r="A3">
        <v>2</v>
      </c>
      <c r="B3">
        <v>9</v>
      </c>
      <c r="C3" t="s">
        <v>49</v>
      </c>
      <c r="D3" s="16" t="s">
        <v>577</v>
      </c>
      <c r="F3">
        <v>24.68</v>
      </c>
      <c r="G3">
        <v>270</v>
      </c>
      <c r="H3">
        <v>3.6</v>
      </c>
      <c r="I3">
        <f>2*(8+3.6)</f>
        <v>23.2</v>
      </c>
      <c r="L3">
        <f>Constants!$B$2</f>
        <v>2.8</v>
      </c>
      <c r="M3">
        <f t="shared" si="0"/>
        <v>270</v>
      </c>
      <c r="N3">
        <f>P3*Constants!$E$2</f>
        <v>6.12</v>
      </c>
      <c r="P3">
        <f t="shared" ref="P3:P22" si="1">H3</f>
        <v>3.6</v>
      </c>
      <c r="Q3">
        <f>P3*Constants!$B$3</f>
        <v>15.119999999999997</v>
      </c>
      <c r="R3">
        <f t="shared" ref="R3:R22" si="2">IF(Q3-N3&lt;=0, 0, Q3-N3)</f>
        <v>8.9999999999999964</v>
      </c>
      <c r="S3">
        <f t="shared" ref="S3:S22" si="3">I3-P3</f>
        <v>19.599999999999998</v>
      </c>
      <c r="T3">
        <f>S3*Constants!$B$2</f>
        <v>54.879999999999988</v>
      </c>
      <c r="V3">
        <f t="shared" ref="V3:V22" si="4">IF(B3="E",1,0)</f>
        <v>0</v>
      </c>
      <c r="W3">
        <f t="shared" ref="W3:W22" si="5">IF(B3=10,1,0)</f>
        <v>0</v>
      </c>
      <c r="AA3" s="8"/>
      <c r="AJ3" s="4"/>
    </row>
    <row r="4" spans="1:40" x14ac:dyDescent="0.25">
      <c r="A4">
        <v>3</v>
      </c>
      <c r="B4">
        <v>9</v>
      </c>
      <c r="C4" t="s">
        <v>64</v>
      </c>
      <c r="D4" s="16" t="s">
        <v>578</v>
      </c>
      <c r="E4" s="16" t="s">
        <v>577</v>
      </c>
      <c r="F4">
        <f>2.7*1.2</f>
        <v>3.24</v>
      </c>
      <c r="G4" t="s">
        <v>44</v>
      </c>
      <c r="H4">
        <v>0</v>
      </c>
      <c r="I4">
        <f>2*(1.2+2.7)</f>
        <v>7.8000000000000007</v>
      </c>
      <c r="L4">
        <f>Constants!$B$2</f>
        <v>2.8</v>
      </c>
      <c r="M4" t="str">
        <f t="shared" si="0"/>
        <v>N/A</v>
      </c>
      <c r="N4">
        <f>P4*Constants!$E$2</f>
        <v>0</v>
      </c>
      <c r="P4">
        <f t="shared" si="1"/>
        <v>0</v>
      </c>
      <c r="Q4">
        <f>P4*Constants!$B$3</f>
        <v>0</v>
      </c>
      <c r="R4">
        <f t="shared" si="2"/>
        <v>0</v>
      </c>
      <c r="S4">
        <f t="shared" si="3"/>
        <v>7.8000000000000007</v>
      </c>
      <c r="T4">
        <f>S4*Constants!$B$2</f>
        <v>21.84</v>
      </c>
      <c r="V4">
        <f t="shared" si="4"/>
        <v>0</v>
      </c>
      <c r="W4">
        <f t="shared" si="5"/>
        <v>0</v>
      </c>
      <c r="AA4" s="8"/>
      <c r="AJ4" s="4"/>
    </row>
    <row r="5" spans="1:40" x14ac:dyDescent="0.25">
      <c r="A5">
        <v>4</v>
      </c>
      <c r="B5">
        <v>9</v>
      </c>
      <c r="C5" t="s">
        <v>49</v>
      </c>
      <c r="D5" s="16" t="s">
        <v>579</v>
      </c>
      <c r="F5">
        <v>24.68</v>
      </c>
      <c r="G5">
        <v>270</v>
      </c>
      <c r="H5">
        <v>3.6</v>
      </c>
      <c r="I5">
        <f>2*(8+3.6)</f>
        <v>23.2</v>
      </c>
      <c r="L5">
        <f>Constants!$B$2</f>
        <v>2.8</v>
      </c>
      <c r="M5">
        <f t="shared" si="0"/>
        <v>270</v>
      </c>
      <c r="N5">
        <f>P5*Constants!$E$2</f>
        <v>6.12</v>
      </c>
      <c r="P5">
        <f t="shared" si="1"/>
        <v>3.6</v>
      </c>
      <c r="Q5">
        <f>P5*Constants!$B$3</f>
        <v>15.119999999999997</v>
      </c>
      <c r="R5">
        <f t="shared" si="2"/>
        <v>8.9999999999999964</v>
      </c>
      <c r="S5">
        <f t="shared" si="3"/>
        <v>19.599999999999998</v>
      </c>
      <c r="T5">
        <f>S5*Constants!$B$2</f>
        <v>54.879999999999988</v>
      </c>
      <c r="V5">
        <f t="shared" si="4"/>
        <v>0</v>
      </c>
      <c r="W5">
        <f t="shared" si="5"/>
        <v>0</v>
      </c>
      <c r="AA5" s="8"/>
      <c r="AJ5" s="4"/>
    </row>
    <row r="6" spans="1:40" x14ac:dyDescent="0.25">
      <c r="A6">
        <v>5</v>
      </c>
      <c r="B6">
        <v>9</v>
      </c>
      <c r="C6" t="s">
        <v>64</v>
      </c>
      <c r="D6" s="16" t="s">
        <v>580</v>
      </c>
      <c r="E6" s="16" t="s">
        <v>579</v>
      </c>
      <c r="F6">
        <f>2.7*1.2</f>
        <v>3.24</v>
      </c>
      <c r="G6" t="s">
        <v>44</v>
      </c>
      <c r="H6">
        <v>0</v>
      </c>
      <c r="I6">
        <f>2*(1.2+2.7)</f>
        <v>7.8000000000000007</v>
      </c>
      <c r="L6">
        <f>Constants!$B$2</f>
        <v>2.8</v>
      </c>
      <c r="M6" t="str">
        <f t="shared" si="0"/>
        <v>N/A</v>
      </c>
      <c r="N6">
        <f>P6*Constants!$E$2</f>
        <v>0</v>
      </c>
      <c r="P6">
        <f t="shared" si="1"/>
        <v>0</v>
      </c>
      <c r="Q6">
        <f>P6*Constants!$B$3</f>
        <v>0</v>
      </c>
      <c r="R6">
        <f t="shared" si="2"/>
        <v>0</v>
      </c>
      <c r="S6">
        <f t="shared" si="3"/>
        <v>7.8000000000000007</v>
      </c>
      <c r="T6">
        <f>S6*Constants!$B$2</f>
        <v>21.84</v>
      </c>
      <c r="V6">
        <f t="shared" si="4"/>
        <v>0</v>
      </c>
      <c r="W6">
        <f t="shared" si="5"/>
        <v>0</v>
      </c>
      <c r="AA6" s="8"/>
      <c r="AJ6" s="4"/>
    </row>
    <row r="7" spans="1:40" x14ac:dyDescent="0.25">
      <c r="A7">
        <v>6</v>
      </c>
      <c r="B7">
        <v>9</v>
      </c>
      <c r="C7" t="s">
        <v>49</v>
      </c>
      <c r="D7" s="16" t="s">
        <v>581</v>
      </c>
      <c r="F7">
        <v>25.3</v>
      </c>
      <c r="G7">
        <v>270</v>
      </c>
      <c r="H7">
        <v>3.6</v>
      </c>
      <c r="I7">
        <f>2*(8+3.6)</f>
        <v>23.2</v>
      </c>
      <c r="L7">
        <f>Constants!$B$2</f>
        <v>2.8</v>
      </c>
      <c r="M7">
        <f t="shared" si="0"/>
        <v>270</v>
      </c>
      <c r="N7">
        <f>P7*Constants!$E$2</f>
        <v>6.12</v>
      </c>
      <c r="P7">
        <f t="shared" si="1"/>
        <v>3.6</v>
      </c>
      <c r="Q7">
        <f>P7*Constants!$B$3</f>
        <v>15.119999999999997</v>
      </c>
      <c r="R7">
        <f t="shared" si="2"/>
        <v>8.9999999999999964</v>
      </c>
      <c r="S7">
        <f t="shared" si="3"/>
        <v>19.599999999999998</v>
      </c>
      <c r="T7">
        <f>S7*Constants!$B$2</f>
        <v>54.879999999999988</v>
      </c>
      <c r="V7">
        <f t="shared" si="4"/>
        <v>0</v>
      </c>
      <c r="W7">
        <f t="shared" si="5"/>
        <v>0</v>
      </c>
      <c r="AA7" s="8"/>
      <c r="AJ7" s="4"/>
    </row>
    <row r="8" spans="1:40" x14ac:dyDescent="0.25">
      <c r="A8">
        <v>7</v>
      </c>
      <c r="B8">
        <v>9</v>
      </c>
      <c r="C8" t="s">
        <v>64</v>
      </c>
      <c r="D8" s="16" t="s">
        <v>582</v>
      </c>
      <c r="E8" s="16" t="s">
        <v>581</v>
      </c>
      <c r="F8">
        <f>2.7*1.2</f>
        <v>3.24</v>
      </c>
      <c r="G8" t="s">
        <v>44</v>
      </c>
      <c r="H8">
        <v>0</v>
      </c>
      <c r="I8">
        <f>2*(1.2+2.7)</f>
        <v>7.8000000000000007</v>
      </c>
      <c r="L8">
        <f>Constants!$B$2</f>
        <v>2.8</v>
      </c>
      <c r="M8" t="str">
        <f t="shared" si="0"/>
        <v>N/A</v>
      </c>
      <c r="N8">
        <f>P8*Constants!$E$2</f>
        <v>0</v>
      </c>
      <c r="P8">
        <f t="shared" si="1"/>
        <v>0</v>
      </c>
      <c r="Q8">
        <f>P8*Constants!$B$3</f>
        <v>0</v>
      </c>
      <c r="R8">
        <f t="shared" si="2"/>
        <v>0</v>
      </c>
      <c r="S8">
        <f t="shared" si="3"/>
        <v>7.8000000000000007</v>
      </c>
      <c r="T8">
        <f>S8*Constants!$B$2</f>
        <v>21.84</v>
      </c>
      <c r="V8">
        <f t="shared" si="4"/>
        <v>0</v>
      </c>
      <c r="W8">
        <f t="shared" si="5"/>
        <v>0</v>
      </c>
      <c r="AA8" s="8"/>
      <c r="AJ8" s="4"/>
    </row>
    <row r="9" spans="1:40" x14ac:dyDescent="0.25">
      <c r="A9">
        <v>8</v>
      </c>
      <c r="B9">
        <v>9</v>
      </c>
      <c r="C9" t="s">
        <v>49</v>
      </c>
      <c r="D9" s="16" t="s">
        <v>583</v>
      </c>
      <c r="F9">
        <v>24.53</v>
      </c>
      <c r="G9">
        <v>270</v>
      </c>
      <c r="H9">
        <v>3.6</v>
      </c>
      <c r="I9">
        <f>2*(8+3.6)</f>
        <v>23.2</v>
      </c>
      <c r="L9">
        <f>Constants!$B$2</f>
        <v>2.8</v>
      </c>
      <c r="M9">
        <f t="shared" si="0"/>
        <v>270</v>
      </c>
      <c r="N9">
        <f>P9*Constants!$E$2</f>
        <v>6.12</v>
      </c>
      <c r="P9">
        <f t="shared" si="1"/>
        <v>3.6</v>
      </c>
      <c r="Q9">
        <f>P9*Constants!$B$3</f>
        <v>15.119999999999997</v>
      </c>
      <c r="R9">
        <f t="shared" si="2"/>
        <v>8.9999999999999964</v>
      </c>
      <c r="S9">
        <f t="shared" si="3"/>
        <v>19.599999999999998</v>
      </c>
      <c r="T9">
        <f>S9*Constants!$B$2</f>
        <v>54.879999999999988</v>
      </c>
      <c r="V9">
        <f t="shared" si="4"/>
        <v>0</v>
      </c>
      <c r="W9">
        <f t="shared" si="5"/>
        <v>0</v>
      </c>
      <c r="AA9" s="8"/>
      <c r="AJ9" s="4"/>
    </row>
    <row r="10" spans="1:40" x14ac:dyDescent="0.25">
      <c r="A10">
        <v>9</v>
      </c>
      <c r="B10">
        <v>9</v>
      </c>
      <c r="C10" t="s">
        <v>64</v>
      </c>
      <c r="D10" s="16" t="s">
        <v>584</v>
      </c>
      <c r="E10" s="16" t="s">
        <v>583</v>
      </c>
      <c r="F10">
        <f>2.7*1.2</f>
        <v>3.24</v>
      </c>
      <c r="G10" t="s">
        <v>44</v>
      </c>
      <c r="H10">
        <v>0</v>
      </c>
      <c r="I10">
        <f>2*(1.2+2.7)</f>
        <v>7.8000000000000007</v>
      </c>
      <c r="L10">
        <f>Constants!$B$2</f>
        <v>2.8</v>
      </c>
      <c r="M10" t="str">
        <f t="shared" si="0"/>
        <v>N/A</v>
      </c>
      <c r="N10">
        <f>P10*Constants!$E$2</f>
        <v>0</v>
      </c>
      <c r="P10">
        <f t="shared" si="1"/>
        <v>0</v>
      </c>
      <c r="Q10">
        <f>P10*Constants!$B$3</f>
        <v>0</v>
      </c>
      <c r="R10">
        <f t="shared" si="2"/>
        <v>0</v>
      </c>
      <c r="S10">
        <f t="shared" si="3"/>
        <v>7.8000000000000007</v>
      </c>
      <c r="T10">
        <f>S10*Constants!$B$2</f>
        <v>21.84</v>
      </c>
      <c r="V10">
        <f t="shared" si="4"/>
        <v>0</v>
      </c>
      <c r="W10">
        <f t="shared" si="5"/>
        <v>0</v>
      </c>
      <c r="AA10" s="8"/>
      <c r="AJ10" s="4"/>
    </row>
    <row r="11" spans="1:40" x14ac:dyDescent="0.25">
      <c r="A11">
        <v>10</v>
      </c>
      <c r="B11">
        <v>9</v>
      </c>
      <c r="C11" t="s">
        <v>49</v>
      </c>
      <c r="D11" s="16" t="s">
        <v>585</v>
      </c>
      <c r="F11">
        <v>24.53</v>
      </c>
      <c r="G11">
        <v>270</v>
      </c>
      <c r="H11">
        <v>3.6</v>
      </c>
      <c r="I11">
        <f>2*(8+3.6)</f>
        <v>23.2</v>
      </c>
      <c r="L11">
        <f>Constants!$B$2</f>
        <v>2.8</v>
      </c>
      <c r="M11">
        <f t="shared" si="0"/>
        <v>270</v>
      </c>
      <c r="N11">
        <f>P11*Constants!$E$2</f>
        <v>6.12</v>
      </c>
      <c r="P11">
        <f t="shared" si="1"/>
        <v>3.6</v>
      </c>
      <c r="Q11">
        <f>P11*Constants!$B$3</f>
        <v>15.119999999999997</v>
      </c>
      <c r="R11">
        <f t="shared" si="2"/>
        <v>8.9999999999999964</v>
      </c>
      <c r="S11">
        <f t="shared" si="3"/>
        <v>19.599999999999998</v>
      </c>
      <c r="T11">
        <f>S11*Constants!$B$2</f>
        <v>54.879999999999988</v>
      </c>
      <c r="V11">
        <f t="shared" si="4"/>
        <v>0</v>
      </c>
      <c r="W11">
        <f t="shared" si="5"/>
        <v>0</v>
      </c>
      <c r="AA11" s="8"/>
      <c r="AJ11" s="4"/>
    </row>
    <row r="12" spans="1:40" x14ac:dyDescent="0.25">
      <c r="A12">
        <v>11</v>
      </c>
      <c r="B12">
        <v>9</v>
      </c>
      <c r="C12" t="s">
        <v>64</v>
      </c>
      <c r="D12" s="16" t="s">
        <v>586</v>
      </c>
      <c r="E12" s="16" t="s">
        <v>587</v>
      </c>
      <c r="F12">
        <f>2.7*1.2</f>
        <v>3.24</v>
      </c>
      <c r="G12" t="s">
        <v>44</v>
      </c>
      <c r="H12">
        <v>0</v>
      </c>
      <c r="I12">
        <f>2*(1.2+2.7)</f>
        <v>7.8000000000000007</v>
      </c>
      <c r="L12">
        <f>Constants!$B$2</f>
        <v>2.8</v>
      </c>
      <c r="M12" t="str">
        <f t="shared" si="0"/>
        <v>N/A</v>
      </c>
      <c r="N12">
        <f>P12*Constants!$E$2</f>
        <v>0</v>
      </c>
      <c r="P12">
        <f t="shared" si="1"/>
        <v>0</v>
      </c>
      <c r="Q12">
        <f>P12*Constants!$B$3</f>
        <v>0</v>
      </c>
      <c r="R12">
        <f t="shared" si="2"/>
        <v>0</v>
      </c>
      <c r="S12">
        <f t="shared" si="3"/>
        <v>7.8000000000000007</v>
      </c>
      <c r="T12">
        <f>S12*Constants!$B$2</f>
        <v>21.84</v>
      </c>
      <c r="V12">
        <f t="shared" si="4"/>
        <v>0</v>
      </c>
      <c r="W12">
        <f t="shared" si="5"/>
        <v>0</v>
      </c>
      <c r="AA12" s="8"/>
      <c r="AJ12" s="4"/>
    </row>
    <row r="13" spans="1:40" x14ac:dyDescent="0.25">
      <c r="A13">
        <v>12</v>
      </c>
      <c r="B13">
        <v>9</v>
      </c>
      <c r="C13" t="s">
        <v>49</v>
      </c>
      <c r="D13" s="16" t="s">
        <v>588</v>
      </c>
      <c r="F13">
        <v>24.68</v>
      </c>
      <c r="G13">
        <v>270</v>
      </c>
      <c r="H13">
        <v>3.6</v>
      </c>
      <c r="I13">
        <f>2*(8+3.6)</f>
        <v>23.2</v>
      </c>
      <c r="L13">
        <f>Constants!$B$2</f>
        <v>2.8</v>
      </c>
      <c r="M13">
        <f t="shared" si="0"/>
        <v>270</v>
      </c>
      <c r="N13">
        <f>P13*Constants!$E$2</f>
        <v>6.12</v>
      </c>
      <c r="P13">
        <f t="shared" si="1"/>
        <v>3.6</v>
      </c>
      <c r="Q13">
        <f>P13*Constants!$B$3</f>
        <v>15.119999999999997</v>
      </c>
      <c r="R13">
        <f t="shared" si="2"/>
        <v>8.9999999999999964</v>
      </c>
      <c r="S13">
        <f t="shared" si="3"/>
        <v>19.599999999999998</v>
      </c>
      <c r="T13">
        <f>S13*Constants!$B$2</f>
        <v>54.879999999999988</v>
      </c>
      <c r="V13">
        <f t="shared" si="4"/>
        <v>0</v>
      </c>
      <c r="W13">
        <f t="shared" si="5"/>
        <v>0</v>
      </c>
      <c r="AA13" s="8"/>
      <c r="AJ13" s="4"/>
    </row>
    <row r="14" spans="1:40" x14ac:dyDescent="0.25">
      <c r="A14">
        <v>13</v>
      </c>
      <c r="B14">
        <v>9</v>
      </c>
      <c r="C14" t="s">
        <v>64</v>
      </c>
      <c r="D14" s="16" t="s">
        <v>589</v>
      </c>
      <c r="E14" s="16" t="s">
        <v>588</v>
      </c>
      <c r="F14">
        <f>2.7*1.2</f>
        <v>3.24</v>
      </c>
      <c r="G14" t="s">
        <v>44</v>
      </c>
      <c r="H14">
        <v>0</v>
      </c>
      <c r="I14">
        <f>2*(1.2+2.7)</f>
        <v>7.8000000000000007</v>
      </c>
      <c r="L14">
        <f>Constants!$B$2</f>
        <v>2.8</v>
      </c>
      <c r="M14" t="str">
        <f t="shared" si="0"/>
        <v>N/A</v>
      </c>
      <c r="N14">
        <f>P14*Constants!$E$2</f>
        <v>0</v>
      </c>
      <c r="P14">
        <f t="shared" si="1"/>
        <v>0</v>
      </c>
      <c r="Q14">
        <f>P14*Constants!$B$3</f>
        <v>0</v>
      </c>
      <c r="R14">
        <f t="shared" si="2"/>
        <v>0</v>
      </c>
      <c r="S14">
        <f t="shared" si="3"/>
        <v>7.8000000000000007</v>
      </c>
      <c r="T14">
        <f>S14*Constants!$B$2</f>
        <v>21.84</v>
      </c>
      <c r="V14">
        <f t="shared" si="4"/>
        <v>0</v>
      </c>
      <c r="W14">
        <f t="shared" si="5"/>
        <v>0</v>
      </c>
      <c r="AA14" s="8"/>
      <c r="AJ14" s="4"/>
    </row>
    <row r="15" spans="1:40" x14ac:dyDescent="0.25">
      <c r="A15">
        <v>14</v>
      </c>
      <c r="B15">
        <v>9</v>
      </c>
      <c r="C15" t="s">
        <v>49</v>
      </c>
      <c r="D15" s="16" t="s">
        <v>590</v>
      </c>
      <c r="F15">
        <v>24.68</v>
      </c>
      <c r="G15">
        <v>270</v>
      </c>
      <c r="H15">
        <v>3.6</v>
      </c>
      <c r="I15">
        <f>2*(8+3.6)</f>
        <v>23.2</v>
      </c>
      <c r="L15">
        <f>Constants!$B$2</f>
        <v>2.8</v>
      </c>
      <c r="M15">
        <f t="shared" si="0"/>
        <v>270</v>
      </c>
      <c r="N15">
        <f>P15*Constants!$E$2</f>
        <v>6.12</v>
      </c>
      <c r="P15">
        <f t="shared" si="1"/>
        <v>3.6</v>
      </c>
      <c r="Q15">
        <f>P15*Constants!$B$3</f>
        <v>15.119999999999997</v>
      </c>
      <c r="R15">
        <f t="shared" si="2"/>
        <v>8.9999999999999964</v>
      </c>
      <c r="S15">
        <f t="shared" si="3"/>
        <v>19.599999999999998</v>
      </c>
      <c r="T15">
        <f>S15*Constants!$B$2</f>
        <v>54.879999999999988</v>
      </c>
      <c r="V15">
        <f t="shared" si="4"/>
        <v>0</v>
      </c>
      <c r="W15">
        <f t="shared" si="5"/>
        <v>0</v>
      </c>
      <c r="AA15" s="8"/>
      <c r="AJ15" s="4"/>
    </row>
    <row r="16" spans="1:40" x14ac:dyDescent="0.25">
      <c r="A16">
        <v>15</v>
      </c>
      <c r="B16">
        <v>9</v>
      </c>
      <c r="C16" t="s">
        <v>64</v>
      </c>
      <c r="D16" s="16" t="s">
        <v>598</v>
      </c>
      <c r="E16" s="16" t="s">
        <v>590</v>
      </c>
      <c r="F16">
        <f>2.7*1.2</f>
        <v>3.24</v>
      </c>
      <c r="G16" t="s">
        <v>44</v>
      </c>
      <c r="H16">
        <v>0</v>
      </c>
      <c r="I16">
        <f>2*(1.2+2.7)</f>
        <v>7.8000000000000007</v>
      </c>
      <c r="L16">
        <f>Constants!$B$2</f>
        <v>2.8</v>
      </c>
      <c r="M16" t="str">
        <f t="shared" si="0"/>
        <v>N/A</v>
      </c>
      <c r="N16">
        <f>P16*Constants!$E$2</f>
        <v>0</v>
      </c>
      <c r="P16">
        <f t="shared" si="1"/>
        <v>0</v>
      </c>
      <c r="Q16">
        <f>P16*Constants!$B$3</f>
        <v>0</v>
      </c>
      <c r="R16">
        <f t="shared" si="2"/>
        <v>0</v>
      </c>
      <c r="S16">
        <f t="shared" si="3"/>
        <v>7.8000000000000007</v>
      </c>
      <c r="T16">
        <f>S16*Constants!$B$2</f>
        <v>21.84</v>
      </c>
      <c r="V16">
        <f t="shared" si="4"/>
        <v>0</v>
      </c>
      <c r="W16">
        <f t="shared" si="5"/>
        <v>0</v>
      </c>
      <c r="AA16" s="8"/>
      <c r="AJ16" s="4"/>
    </row>
    <row r="17" spans="1:36" x14ac:dyDescent="0.25">
      <c r="A17">
        <v>16</v>
      </c>
      <c r="B17">
        <v>9</v>
      </c>
      <c r="C17" t="s">
        <v>49</v>
      </c>
      <c r="D17" s="16" t="s">
        <v>591</v>
      </c>
      <c r="F17">
        <v>24.68</v>
      </c>
      <c r="G17">
        <v>270</v>
      </c>
      <c r="H17">
        <v>3.6</v>
      </c>
      <c r="I17">
        <f>2*(8+3.6)</f>
        <v>23.2</v>
      </c>
      <c r="L17">
        <f>Constants!$B$2</f>
        <v>2.8</v>
      </c>
      <c r="M17">
        <f t="shared" si="0"/>
        <v>270</v>
      </c>
      <c r="N17">
        <f>P17*Constants!$E$2</f>
        <v>6.12</v>
      </c>
      <c r="P17">
        <f t="shared" si="1"/>
        <v>3.6</v>
      </c>
      <c r="Q17">
        <f>P17*Constants!$B$3</f>
        <v>15.119999999999997</v>
      </c>
      <c r="R17">
        <f t="shared" si="2"/>
        <v>8.9999999999999964</v>
      </c>
      <c r="S17">
        <f t="shared" si="3"/>
        <v>19.599999999999998</v>
      </c>
      <c r="T17">
        <f>S17*Constants!$B$2</f>
        <v>54.879999999999988</v>
      </c>
      <c r="V17">
        <f t="shared" si="4"/>
        <v>0</v>
      </c>
      <c r="W17">
        <f t="shared" si="5"/>
        <v>0</v>
      </c>
      <c r="AA17" s="8"/>
      <c r="AJ17" s="4"/>
    </row>
    <row r="18" spans="1:36" x14ac:dyDescent="0.25">
      <c r="A18">
        <v>17</v>
      </c>
      <c r="B18">
        <v>9</v>
      </c>
      <c r="C18" t="s">
        <v>64</v>
      </c>
      <c r="D18" s="16" t="s">
        <v>592</v>
      </c>
      <c r="E18" s="16" t="s">
        <v>591</v>
      </c>
      <c r="F18">
        <f>2.7*1.2</f>
        <v>3.24</v>
      </c>
      <c r="G18" t="s">
        <v>44</v>
      </c>
      <c r="H18">
        <v>0</v>
      </c>
      <c r="I18">
        <f>2*(1.2+2.7)</f>
        <v>7.8000000000000007</v>
      </c>
      <c r="L18">
        <f>Constants!$B$2</f>
        <v>2.8</v>
      </c>
      <c r="M18" t="str">
        <f t="shared" si="0"/>
        <v>N/A</v>
      </c>
      <c r="N18">
        <f>P18*Constants!$E$2</f>
        <v>0</v>
      </c>
      <c r="P18">
        <f t="shared" si="1"/>
        <v>0</v>
      </c>
      <c r="Q18">
        <f>P18*Constants!$B$3</f>
        <v>0</v>
      </c>
      <c r="R18">
        <f t="shared" si="2"/>
        <v>0</v>
      </c>
      <c r="S18">
        <f t="shared" si="3"/>
        <v>7.8000000000000007</v>
      </c>
      <c r="T18">
        <f>S18*Constants!$B$2</f>
        <v>21.84</v>
      </c>
      <c r="V18">
        <f t="shared" si="4"/>
        <v>0</v>
      </c>
      <c r="W18">
        <f t="shared" si="5"/>
        <v>0</v>
      </c>
      <c r="AA18" s="8"/>
      <c r="AJ18" s="4"/>
    </row>
    <row r="19" spans="1:36" x14ac:dyDescent="0.25">
      <c r="A19">
        <v>18</v>
      </c>
      <c r="B19">
        <v>9</v>
      </c>
      <c r="C19" t="s">
        <v>54</v>
      </c>
      <c r="D19" s="16" t="s">
        <v>593</v>
      </c>
      <c r="F19">
        <v>20</v>
      </c>
      <c r="G19" t="s">
        <v>44</v>
      </c>
      <c r="H19">
        <v>0</v>
      </c>
      <c r="I19">
        <f>2*1.2*(3+5)</f>
        <v>19.2</v>
      </c>
      <c r="L19">
        <f>Constants!$B$2</f>
        <v>2.8</v>
      </c>
      <c r="M19" t="str">
        <f t="shared" si="0"/>
        <v>N/A</v>
      </c>
      <c r="N19">
        <f>P19*Constants!$E$2</f>
        <v>0</v>
      </c>
      <c r="P19">
        <f t="shared" si="1"/>
        <v>0</v>
      </c>
      <c r="Q19">
        <f>P19*Constants!$B$3</f>
        <v>0</v>
      </c>
      <c r="R19">
        <f t="shared" si="2"/>
        <v>0</v>
      </c>
      <c r="S19">
        <f t="shared" si="3"/>
        <v>19.2</v>
      </c>
      <c r="T19">
        <f>S19*Constants!$B$2</f>
        <v>53.76</v>
      </c>
      <c r="V19">
        <f t="shared" si="4"/>
        <v>0</v>
      </c>
      <c r="W19">
        <f t="shared" si="5"/>
        <v>0</v>
      </c>
      <c r="AA19" s="8"/>
      <c r="AJ19" s="4"/>
    </row>
    <row r="20" spans="1:36" x14ac:dyDescent="0.25">
      <c r="A20">
        <v>19</v>
      </c>
      <c r="B20">
        <v>9</v>
      </c>
      <c r="C20" t="s">
        <v>45</v>
      </c>
      <c r="D20" s="16" t="s">
        <v>594</v>
      </c>
      <c r="E20" s="16"/>
      <c r="F20">
        <v>11.81</v>
      </c>
      <c r="G20" t="s">
        <v>44</v>
      </c>
      <c r="H20">
        <v>0</v>
      </c>
      <c r="I20">
        <f>2*1.2*(5+2)</f>
        <v>16.8</v>
      </c>
      <c r="L20">
        <f>Constants!$B$2</f>
        <v>2.8</v>
      </c>
      <c r="M20" t="str">
        <f t="shared" si="0"/>
        <v>N/A</v>
      </c>
      <c r="N20">
        <f>P20*Constants!$E$2</f>
        <v>0</v>
      </c>
      <c r="P20">
        <f t="shared" si="1"/>
        <v>0</v>
      </c>
      <c r="Q20">
        <f>P20*Constants!$B$3</f>
        <v>0</v>
      </c>
      <c r="R20">
        <f t="shared" si="2"/>
        <v>0</v>
      </c>
      <c r="S20">
        <f t="shared" si="3"/>
        <v>16.8</v>
      </c>
      <c r="T20">
        <f>S20*Constants!$B$2</f>
        <v>47.04</v>
      </c>
      <c r="V20">
        <f t="shared" si="4"/>
        <v>0</v>
      </c>
      <c r="W20">
        <f t="shared" si="5"/>
        <v>0</v>
      </c>
      <c r="AA20" s="8"/>
      <c r="AJ20" s="4"/>
    </row>
    <row r="21" spans="1:36" x14ac:dyDescent="0.25">
      <c r="A21">
        <v>20</v>
      </c>
      <c r="B21">
        <v>9</v>
      </c>
      <c r="C21" t="s">
        <v>54</v>
      </c>
      <c r="D21" s="16" t="s">
        <v>595</v>
      </c>
      <c r="E21" s="16"/>
      <c r="F21">
        <v>13.16</v>
      </c>
      <c r="G21" t="s">
        <v>44</v>
      </c>
      <c r="H21">
        <v>0</v>
      </c>
      <c r="I21">
        <f>2*1.2*(5+2)</f>
        <v>16.8</v>
      </c>
      <c r="L21">
        <f>Constants!$B$2</f>
        <v>2.8</v>
      </c>
      <c r="M21" t="str">
        <f t="shared" si="0"/>
        <v>N/A</v>
      </c>
      <c r="N21">
        <f>P21*Constants!$E$2</f>
        <v>0</v>
      </c>
      <c r="P21">
        <f t="shared" si="1"/>
        <v>0</v>
      </c>
      <c r="Q21">
        <f>P21*Constants!$B$3</f>
        <v>0</v>
      </c>
      <c r="R21">
        <f t="shared" si="2"/>
        <v>0</v>
      </c>
      <c r="S21">
        <f t="shared" si="3"/>
        <v>16.8</v>
      </c>
      <c r="T21">
        <f>S21*Constants!$B$2</f>
        <v>47.04</v>
      </c>
      <c r="V21">
        <f t="shared" si="4"/>
        <v>0</v>
      </c>
      <c r="W21">
        <f t="shared" si="5"/>
        <v>0</v>
      </c>
      <c r="AA21" s="8"/>
      <c r="AJ21" s="4"/>
    </row>
    <row r="22" spans="1:36" x14ac:dyDescent="0.25">
      <c r="A22">
        <v>21</v>
      </c>
      <c r="B22">
        <v>9</v>
      </c>
      <c r="C22" t="s">
        <v>67</v>
      </c>
      <c r="D22" s="16" t="s">
        <v>596</v>
      </c>
      <c r="F22">
        <v>20.18</v>
      </c>
      <c r="G22" t="s">
        <v>44</v>
      </c>
      <c r="H22">
        <v>0</v>
      </c>
      <c r="I22">
        <f>2*1.2*(3+5)</f>
        <v>19.2</v>
      </c>
      <c r="L22">
        <f>Constants!$B$2</f>
        <v>2.8</v>
      </c>
      <c r="M22" t="str">
        <f t="shared" si="0"/>
        <v>N/A</v>
      </c>
      <c r="N22">
        <f>P22*Constants!$E$2</f>
        <v>0</v>
      </c>
      <c r="P22">
        <f t="shared" si="1"/>
        <v>0</v>
      </c>
      <c r="Q22">
        <f>P22*Constants!$B$3</f>
        <v>0</v>
      </c>
      <c r="R22">
        <f t="shared" si="2"/>
        <v>0</v>
      </c>
      <c r="S22">
        <f t="shared" si="3"/>
        <v>19.2</v>
      </c>
      <c r="T22">
        <f>S22*Constants!$B$2</f>
        <v>53.76</v>
      </c>
      <c r="V22">
        <f t="shared" si="4"/>
        <v>0</v>
      </c>
      <c r="W22">
        <f t="shared" si="5"/>
        <v>0</v>
      </c>
      <c r="AA22" s="8"/>
      <c r="AJ22" s="4"/>
    </row>
    <row r="23" spans="1:36" x14ac:dyDescent="0.25">
      <c r="A23">
        <v>22</v>
      </c>
      <c r="B23">
        <v>9</v>
      </c>
      <c r="C23" t="s">
        <v>59</v>
      </c>
      <c r="D23" s="16" t="s">
        <v>597</v>
      </c>
      <c r="E23" s="16"/>
      <c r="F23">
        <v>13.01</v>
      </c>
      <c r="G23" t="s">
        <v>44</v>
      </c>
      <c r="H23">
        <v>0</v>
      </c>
      <c r="I23">
        <f>2*1.2*(2+5)</f>
        <v>16.8</v>
      </c>
      <c r="L23">
        <f>Constants!$B$2</f>
        <v>2.8</v>
      </c>
      <c r="M23" t="str">
        <f t="shared" ref="M23:M27" si="6">IF(N23&gt;0,G23,"N/A")</f>
        <v>N/A</v>
      </c>
      <c r="N23">
        <f>P23*Constants!$E$2</f>
        <v>0</v>
      </c>
      <c r="P23">
        <f t="shared" ref="P23:P27" si="7">H23</f>
        <v>0</v>
      </c>
      <c r="Q23">
        <f>P23*Constants!$B$3</f>
        <v>0</v>
      </c>
      <c r="R23">
        <f t="shared" ref="R23:R27" si="8">IF(Q23-N23&lt;=0, 0, Q23-N23)</f>
        <v>0</v>
      </c>
      <c r="S23">
        <f t="shared" ref="S23:S27" si="9">I23-P23</f>
        <v>16.8</v>
      </c>
      <c r="T23">
        <f>S23*Constants!$B$2</f>
        <v>47.04</v>
      </c>
      <c r="V23">
        <f t="shared" ref="V23:V27" si="10">IF(B23="E",1,0)</f>
        <v>0</v>
      </c>
      <c r="W23">
        <f t="shared" ref="W23:W27" si="11">IF(B23=10,1,0)</f>
        <v>0</v>
      </c>
      <c r="AA23" s="8"/>
      <c r="AJ23" s="4"/>
    </row>
    <row r="24" spans="1:36" x14ac:dyDescent="0.25">
      <c r="A24">
        <v>23</v>
      </c>
      <c r="B24">
        <v>9</v>
      </c>
      <c r="C24" t="s">
        <v>59</v>
      </c>
      <c r="D24" s="16" t="s">
        <v>599</v>
      </c>
      <c r="E24" s="16"/>
      <c r="F24">
        <v>15.17</v>
      </c>
      <c r="G24" t="s">
        <v>44</v>
      </c>
      <c r="H24">
        <v>0</v>
      </c>
      <c r="I24">
        <f>2*1.2*(2.5+4.5)</f>
        <v>16.8</v>
      </c>
      <c r="L24">
        <f>Constants!$B$2</f>
        <v>2.8</v>
      </c>
      <c r="M24" t="str">
        <f t="shared" si="6"/>
        <v>N/A</v>
      </c>
      <c r="N24">
        <f>P24*Constants!$E$2</f>
        <v>0</v>
      </c>
      <c r="P24">
        <f t="shared" si="7"/>
        <v>0</v>
      </c>
      <c r="Q24">
        <f>P24*Constants!$B$3</f>
        <v>0</v>
      </c>
      <c r="R24">
        <f t="shared" si="8"/>
        <v>0</v>
      </c>
      <c r="S24">
        <f t="shared" si="9"/>
        <v>16.8</v>
      </c>
      <c r="T24">
        <f>S24*Constants!$B$2</f>
        <v>47.04</v>
      </c>
      <c r="V24">
        <f t="shared" si="10"/>
        <v>0</v>
      </c>
      <c r="W24">
        <f t="shared" si="11"/>
        <v>0</v>
      </c>
      <c r="AA24" s="8"/>
      <c r="AJ24" s="4"/>
    </row>
    <row r="25" spans="1:36" x14ac:dyDescent="0.25">
      <c r="A25">
        <v>24</v>
      </c>
      <c r="B25">
        <v>9</v>
      </c>
      <c r="C25" t="s">
        <v>66</v>
      </c>
      <c r="D25" s="16" t="s">
        <v>602</v>
      </c>
      <c r="E25" s="16"/>
      <c r="F25">
        <v>14.95</v>
      </c>
      <c r="G25" t="s">
        <v>44</v>
      </c>
      <c r="H25">
        <v>0</v>
      </c>
      <c r="I25">
        <f>2*1.2*(2.5+4.5)</f>
        <v>16.8</v>
      </c>
      <c r="L25">
        <f>Constants!$B$2</f>
        <v>2.8</v>
      </c>
      <c r="M25" t="str">
        <f t="shared" ref="M25" si="12">IF(N25&gt;0,G25,"N/A")</f>
        <v>N/A</v>
      </c>
      <c r="N25">
        <f>P25*Constants!$E$2</f>
        <v>0</v>
      </c>
      <c r="P25">
        <f t="shared" ref="P25" si="13">H25</f>
        <v>0</v>
      </c>
      <c r="Q25">
        <f>P25*Constants!$B$3</f>
        <v>0</v>
      </c>
      <c r="R25">
        <f t="shared" ref="R25" si="14">IF(Q25-N25&lt;=0, 0, Q25-N25)</f>
        <v>0</v>
      </c>
      <c r="S25">
        <f t="shared" ref="S25" si="15">I25-P25</f>
        <v>16.8</v>
      </c>
      <c r="T25">
        <f>S25*Constants!$B$2</f>
        <v>47.04</v>
      </c>
      <c r="V25">
        <f t="shared" ref="V25" si="16">IF(B25="E",1,0)</f>
        <v>0</v>
      </c>
      <c r="W25">
        <f t="shared" ref="W25" si="17">IF(B25=10,1,0)</f>
        <v>0</v>
      </c>
      <c r="AA25" s="8"/>
      <c r="AJ25" s="4"/>
    </row>
    <row r="26" spans="1:36" x14ac:dyDescent="0.25">
      <c r="A26">
        <v>25</v>
      </c>
      <c r="B26">
        <v>9</v>
      </c>
      <c r="C26" t="s">
        <v>59</v>
      </c>
      <c r="D26" s="16" t="s">
        <v>600</v>
      </c>
      <c r="E26" s="16"/>
      <c r="F26">
        <v>17.11</v>
      </c>
      <c r="G26" t="s">
        <v>44</v>
      </c>
      <c r="H26">
        <v>0</v>
      </c>
      <c r="I26">
        <f>2*1.2*(2.5+5)</f>
        <v>18</v>
      </c>
      <c r="L26">
        <f>Constants!$B$2</f>
        <v>2.8</v>
      </c>
      <c r="M26" t="str">
        <f t="shared" si="6"/>
        <v>N/A</v>
      </c>
      <c r="N26">
        <f>P26*Constants!$E$2</f>
        <v>0</v>
      </c>
      <c r="P26">
        <f t="shared" si="7"/>
        <v>0</v>
      </c>
      <c r="Q26">
        <f>P26*Constants!$B$3</f>
        <v>0</v>
      </c>
      <c r="R26">
        <f t="shared" si="8"/>
        <v>0</v>
      </c>
      <c r="S26">
        <f t="shared" si="9"/>
        <v>18</v>
      </c>
      <c r="T26">
        <f>S26*Constants!$B$2</f>
        <v>50.4</v>
      </c>
      <c r="V26">
        <f t="shared" si="10"/>
        <v>0</v>
      </c>
      <c r="W26">
        <f t="shared" si="11"/>
        <v>0</v>
      </c>
      <c r="AA26" s="8"/>
      <c r="AJ26" s="4"/>
    </row>
    <row r="27" spans="1:36" x14ac:dyDescent="0.25">
      <c r="A27">
        <v>26</v>
      </c>
      <c r="B27">
        <v>9</v>
      </c>
      <c r="C27" t="s">
        <v>54</v>
      </c>
      <c r="D27" s="16" t="s">
        <v>601</v>
      </c>
      <c r="F27">
        <v>17.11</v>
      </c>
      <c r="G27" t="s">
        <v>44</v>
      </c>
      <c r="H27">
        <v>0</v>
      </c>
      <c r="I27">
        <f>2*1.2*(2.5+5)</f>
        <v>18</v>
      </c>
      <c r="L27">
        <f>Constants!$B$2</f>
        <v>2.8</v>
      </c>
      <c r="M27" t="str">
        <f t="shared" si="6"/>
        <v>N/A</v>
      </c>
      <c r="N27">
        <f>P27*Constants!$E$2</f>
        <v>0</v>
      </c>
      <c r="P27">
        <f t="shared" si="7"/>
        <v>0</v>
      </c>
      <c r="Q27">
        <f>P27*Constants!$B$3</f>
        <v>0</v>
      </c>
      <c r="R27">
        <f t="shared" si="8"/>
        <v>0</v>
      </c>
      <c r="S27">
        <f t="shared" si="9"/>
        <v>18</v>
      </c>
      <c r="T27">
        <f>S27*Constants!$B$2</f>
        <v>50.4</v>
      </c>
      <c r="V27">
        <f t="shared" si="10"/>
        <v>0</v>
      </c>
      <c r="W27">
        <f t="shared" si="11"/>
        <v>0</v>
      </c>
      <c r="AA27" s="8"/>
      <c r="AJ27" s="4"/>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4"/>
    </row>
    <row r="394" spans="4:4" x14ac:dyDescent="0.25">
      <c r="D394" s="14"/>
    </row>
    <row r="395" spans="4:4" x14ac:dyDescent="0.25">
      <c r="D395" s="13"/>
    </row>
    <row r="396" spans="4:4" x14ac:dyDescent="0.25">
      <c r="D396" s="13"/>
    </row>
    <row r="397" spans="4:4" x14ac:dyDescent="0.25">
      <c r="D397" s="13"/>
    </row>
    <row r="398" spans="4:4" x14ac:dyDescent="0.25">
      <c r="D398" s="13"/>
    </row>
    <row r="399" spans="4:4" x14ac:dyDescent="0.25">
      <c r="D399" s="13"/>
    </row>
    <row r="400" spans="4:4" x14ac:dyDescent="0.25">
      <c r="D400" s="13"/>
    </row>
    <row r="401" spans="4:4" x14ac:dyDescent="0.25">
      <c r="D401" s="13"/>
    </row>
    <row r="402" spans="4:4" x14ac:dyDescent="0.25">
      <c r="D402" s="13"/>
    </row>
  </sheetData>
  <phoneticPr fontId="5" type="noConversion"/>
  <pageMargins left="0.7" right="0.7" top="0.78740157499999996" bottom="0.78740157499999996"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93"/>
  <sheetViews>
    <sheetView zoomScaleNormal="100" workbookViewId="0">
      <pane xSplit="4" ySplit="1" topLeftCell="H2" activePane="bottomRight" state="frozen"/>
      <selection pane="topRight" activeCell="F1" sqref="F1"/>
      <selection pane="bottomLeft" activeCell="A2" sqref="A2"/>
      <selection pane="bottomRight" activeCell="A2" sqref="A2:A1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s="17" t="s">
        <v>62</v>
      </c>
      <c r="D2" s="16" t="s">
        <v>603</v>
      </c>
      <c r="F2">
        <v>124.34</v>
      </c>
      <c r="G2" t="s">
        <v>44</v>
      </c>
      <c r="H2">
        <v>0</v>
      </c>
      <c r="I2">
        <f>2*(28.8+2.3)</f>
        <v>62.2</v>
      </c>
      <c r="L2">
        <f>Constants!$B$2</f>
        <v>2.8</v>
      </c>
      <c r="M2" t="str">
        <f t="shared" ref="M2:M11"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9</v>
      </c>
      <c r="C3" t="s">
        <v>64</v>
      </c>
      <c r="D3" s="16" t="s">
        <v>604</v>
      </c>
      <c r="E3" s="16"/>
      <c r="F3">
        <v>17.54</v>
      </c>
      <c r="G3" t="s">
        <v>44</v>
      </c>
      <c r="H3">
        <v>0</v>
      </c>
      <c r="I3">
        <f>2*1.2*(3+4.5)</f>
        <v>18</v>
      </c>
      <c r="L3">
        <f>Constants!$B$2</f>
        <v>2.8</v>
      </c>
      <c r="M3" t="str">
        <f t="shared" si="0"/>
        <v>N/A</v>
      </c>
      <c r="N3">
        <f>P3*Constants!$E$2</f>
        <v>0</v>
      </c>
      <c r="P3">
        <f t="shared" ref="P3:P11" si="1">H3</f>
        <v>0</v>
      </c>
      <c r="Q3">
        <f>P3*Constants!$B$3</f>
        <v>0</v>
      </c>
      <c r="R3">
        <f t="shared" ref="R3:R11" si="2">IF(Q3-N3&lt;=0, 0, Q3-N3)</f>
        <v>0</v>
      </c>
      <c r="S3">
        <f t="shared" ref="S3:S11" si="3">I3-P3</f>
        <v>18</v>
      </c>
      <c r="T3">
        <f>S3*Constants!$B$2</f>
        <v>50.4</v>
      </c>
      <c r="V3">
        <f t="shared" ref="V3:V11" si="4">IF(B3="E",1,0)</f>
        <v>0</v>
      </c>
      <c r="W3">
        <f t="shared" ref="W3:W11" si="5">IF(B3=10,1,0)</f>
        <v>0</v>
      </c>
      <c r="AA3" s="8"/>
      <c r="AJ3" s="4"/>
    </row>
    <row r="4" spans="1:40" x14ac:dyDescent="0.25">
      <c r="A4">
        <v>3</v>
      </c>
      <c r="B4">
        <v>9</v>
      </c>
      <c r="C4" t="s">
        <v>50</v>
      </c>
      <c r="D4" s="16" t="s">
        <v>605</v>
      </c>
      <c r="F4">
        <v>9.83</v>
      </c>
      <c r="G4" t="s">
        <v>44</v>
      </c>
      <c r="H4">
        <v>0</v>
      </c>
      <c r="I4">
        <f>2*1.2*(2.5+3)</f>
        <v>13.2</v>
      </c>
      <c r="L4">
        <f>Constants!$B$2</f>
        <v>2.8</v>
      </c>
      <c r="M4" t="str">
        <f t="shared" si="0"/>
        <v>N/A</v>
      </c>
      <c r="N4">
        <f>P4*Constants!$E$2</f>
        <v>0</v>
      </c>
      <c r="P4">
        <f t="shared" si="1"/>
        <v>0</v>
      </c>
      <c r="Q4">
        <f>P4*Constants!$B$3</f>
        <v>0</v>
      </c>
      <c r="R4">
        <f t="shared" si="2"/>
        <v>0</v>
      </c>
      <c r="S4">
        <f t="shared" si="3"/>
        <v>13.2</v>
      </c>
      <c r="T4">
        <f>S4*Constants!$B$2</f>
        <v>36.959999999999994</v>
      </c>
      <c r="V4">
        <f t="shared" si="4"/>
        <v>0</v>
      </c>
      <c r="W4">
        <f t="shared" si="5"/>
        <v>0</v>
      </c>
      <c r="AA4" s="8"/>
      <c r="AJ4" s="4"/>
    </row>
    <row r="5" spans="1:40" x14ac:dyDescent="0.25">
      <c r="A5">
        <v>4</v>
      </c>
      <c r="B5">
        <v>9</v>
      </c>
      <c r="C5" t="s">
        <v>45</v>
      </c>
      <c r="D5" s="16" t="s">
        <v>587</v>
      </c>
      <c r="E5" s="16"/>
      <c r="F5">
        <v>19.61</v>
      </c>
      <c r="G5" t="s">
        <v>44</v>
      </c>
      <c r="H5">
        <v>0</v>
      </c>
      <c r="I5">
        <f>2*1.2*(4+4)</f>
        <v>19.2</v>
      </c>
      <c r="L5">
        <f>Constants!$B$2</f>
        <v>2.8</v>
      </c>
      <c r="M5" t="str">
        <f t="shared" si="0"/>
        <v>N/A</v>
      </c>
      <c r="N5">
        <f>P5*Constants!$E$2</f>
        <v>0</v>
      </c>
      <c r="P5">
        <f t="shared" si="1"/>
        <v>0</v>
      </c>
      <c r="Q5">
        <f>P5*Constants!$B$3</f>
        <v>0</v>
      </c>
      <c r="R5">
        <f t="shared" si="2"/>
        <v>0</v>
      </c>
      <c r="S5">
        <f t="shared" si="3"/>
        <v>19.2</v>
      </c>
      <c r="T5">
        <f>S5*Constants!$B$2</f>
        <v>53.76</v>
      </c>
      <c r="V5">
        <f t="shared" si="4"/>
        <v>0</v>
      </c>
      <c r="W5">
        <f t="shared" si="5"/>
        <v>0</v>
      </c>
      <c r="AA5" s="8"/>
      <c r="AJ5" s="4"/>
    </row>
    <row r="6" spans="1:40" x14ac:dyDescent="0.25">
      <c r="A6">
        <v>5</v>
      </c>
      <c r="B6">
        <v>9</v>
      </c>
      <c r="C6" t="s">
        <v>67</v>
      </c>
      <c r="D6" s="16" t="s">
        <v>606</v>
      </c>
      <c r="E6" s="16"/>
      <c r="F6">
        <v>10.97</v>
      </c>
      <c r="G6" t="s">
        <v>44</v>
      </c>
      <c r="H6">
        <v>0</v>
      </c>
      <c r="I6">
        <f>2*1.2*(3.5+2.5)</f>
        <v>14.399999999999999</v>
      </c>
      <c r="L6">
        <f>Constants!$B$2</f>
        <v>2.8</v>
      </c>
      <c r="M6" t="str">
        <f t="shared" si="0"/>
        <v>N/A</v>
      </c>
      <c r="N6">
        <f>P6*Constants!$E$2</f>
        <v>0</v>
      </c>
      <c r="P6">
        <f t="shared" si="1"/>
        <v>0</v>
      </c>
      <c r="Q6">
        <f>P6*Constants!$B$3</f>
        <v>0</v>
      </c>
      <c r="R6">
        <f t="shared" si="2"/>
        <v>0</v>
      </c>
      <c r="S6">
        <f t="shared" si="3"/>
        <v>14.399999999999999</v>
      </c>
      <c r="T6">
        <f>S6*Constants!$B$2</f>
        <v>40.319999999999993</v>
      </c>
      <c r="V6">
        <f t="shared" si="4"/>
        <v>0</v>
      </c>
      <c r="W6">
        <f t="shared" si="5"/>
        <v>0</v>
      </c>
      <c r="AA6" s="8"/>
      <c r="AJ6" s="4"/>
    </row>
    <row r="7" spans="1:40" x14ac:dyDescent="0.25">
      <c r="A7">
        <v>6</v>
      </c>
      <c r="B7">
        <v>9</v>
      </c>
      <c r="C7" t="s">
        <v>54</v>
      </c>
      <c r="D7" s="16" t="s">
        <v>607</v>
      </c>
      <c r="E7" s="16"/>
      <c r="F7">
        <v>10.97</v>
      </c>
      <c r="G7" t="s">
        <v>44</v>
      </c>
      <c r="H7">
        <v>0</v>
      </c>
      <c r="I7">
        <f>2*1.2*(2.5+3.5)</f>
        <v>14.399999999999999</v>
      </c>
      <c r="L7">
        <f>Constants!$B$2</f>
        <v>2.8</v>
      </c>
      <c r="M7" t="str">
        <f t="shared" si="0"/>
        <v>N/A</v>
      </c>
      <c r="N7">
        <f>P7*Constants!$E$2</f>
        <v>0</v>
      </c>
      <c r="P7">
        <f t="shared" si="1"/>
        <v>0</v>
      </c>
      <c r="Q7">
        <f>P7*Constants!$B$3</f>
        <v>0</v>
      </c>
      <c r="R7">
        <f t="shared" si="2"/>
        <v>0</v>
      </c>
      <c r="S7">
        <f t="shared" si="3"/>
        <v>14.399999999999999</v>
      </c>
      <c r="T7">
        <f>S7*Constants!$B$2</f>
        <v>40.319999999999993</v>
      </c>
      <c r="V7">
        <f t="shared" si="4"/>
        <v>0</v>
      </c>
      <c r="W7">
        <f t="shared" si="5"/>
        <v>0</v>
      </c>
      <c r="AA7" s="8"/>
      <c r="AJ7" s="4"/>
    </row>
    <row r="8" spans="1:40" x14ac:dyDescent="0.25">
      <c r="A8">
        <v>7</v>
      </c>
      <c r="B8">
        <v>9</v>
      </c>
      <c r="C8" t="s">
        <v>54</v>
      </c>
      <c r="D8" s="16" t="s">
        <v>608</v>
      </c>
      <c r="F8">
        <v>22.97</v>
      </c>
      <c r="G8" t="s">
        <v>44</v>
      </c>
      <c r="H8">
        <v>0</v>
      </c>
      <c r="I8">
        <f>2*1.2*(4+4.5)</f>
        <v>20.399999999999999</v>
      </c>
      <c r="L8">
        <f>Constants!$B$2</f>
        <v>2.8</v>
      </c>
      <c r="M8" t="str">
        <f t="shared" si="0"/>
        <v>N/A</v>
      </c>
      <c r="N8">
        <f>P8*Constants!$E$2</f>
        <v>0</v>
      </c>
      <c r="P8">
        <f t="shared" si="1"/>
        <v>0</v>
      </c>
      <c r="Q8">
        <f>P8*Constants!$B$3</f>
        <v>0</v>
      </c>
      <c r="R8">
        <f t="shared" si="2"/>
        <v>0</v>
      </c>
      <c r="S8">
        <f t="shared" si="3"/>
        <v>20.399999999999999</v>
      </c>
      <c r="T8">
        <f>S8*Constants!$B$2</f>
        <v>57.11999999999999</v>
      </c>
      <c r="V8">
        <f t="shared" si="4"/>
        <v>0</v>
      </c>
      <c r="W8">
        <f t="shared" si="5"/>
        <v>0</v>
      </c>
      <c r="AA8" s="8"/>
      <c r="AJ8" s="4"/>
    </row>
    <row r="9" spans="1:40" x14ac:dyDescent="0.25">
      <c r="A9">
        <v>8</v>
      </c>
      <c r="B9">
        <v>9</v>
      </c>
      <c r="C9" t="s">
        <v>54</v>
      </c>
      <c r="D9" s="16" t="s">
        <v>609</v>
      </c>
      <c r="E9" s="16"/>
      <c r="F9">
        <v>13.25</v>
      </c>
      <c r="G9" t="s">
        <v>44</v>
      </c>
      <c r="H9">
        <v>0</v>
      </c>
      <c r="I9">
        <f>2*1.2*(2.5+4)</f>
        <v>15.6</v>
      </c>
      <c r="L9">
        <f>Constants!$B$2</f>
        <v>2.8</v>
      </c>
      <c r="M9" t="str">
        <f t="shared" si="0"/>
        <v>N/A</v>
      </c>
      <c r="N9">
        <f>P9*Constants!$E$2</f>
        <v>0</v>
      </c>
      <c r="P9">
        <f t="shared" si="1"/>
        <v>0</v>
      </c>
      <c r="Q9">
        <f>P9*Constants!$B$3</f>
        <v>0</v>
      </c>
      <c r="R9">
        <f t="shared" si="2"/>
        <v>0</v>
      </c>
      <c r="S9">
        <f t="shared" si="3"/>
        <v>15.6</v>
      </c>
      <c r="T9">
        <f>S9*Constants!$B$2</f>
        <v>43.68</v>
      </c>
      <c r="V9">
        <f t="shared" si="4"/>
        <v>0</v>
      </c>
      <c r="W9">
        <f t="shared" si="5"/>
        <v>0</v>
      </c>
      <c r="AA9" s="8"/>
      <c r="AJ9" s="4"/>
    </row>
    <row r="10" spans="1:40" x14ac:dyDescent="0.25">
      <c r="A10">
        <v>9</v>
      </c>
      <c r="B10">
        <v>9</v>
      </c>
      <c r="C10" t="s">
        <v>45</v>
      </c>
      <c r="D10" s="16" t="s">
        <v>610</v>
      </c>
      <c r="E10" s="16"/>
      <c r="F10">
        <v>10.46</v>
      </c>
      <c r="G10" t="s">
        <v>44</v>
      </c>
      <c r="H10">
        <v>0</v>
      </c>
      <c r="I10">
        <f>2*1.2*(2+4)</f>
        <v>14.399999999999999</v>
      </c>
      <c r="L10">
        <f>Constants!$B$2</f>
        <v>2.8</v>
      </c>
      <c r="M10" t="str">
        <f t="shared" si="0"/>
        <v>N/A</v>
      </c>
      <c r="N10">
        <f>P10*Constants!$E$2</f>
        <v>0</v>
      </c>
      <c r="P10">
        <f t="shared" si="1"/>
        <v>0</v>
      </c>
      <c r="Q10">
        <f>P10*Constants!$B$3</f>
        <v>0</v>
      </c>
      <c r="R10">
        <f t="shared" si="2"/>
        <v>0</v>
      </c>
      <c r="S10">
        <f t="shared" si="3"/>
        <v>14.399999999999999</v>
      </c>
      <c r="T10">
        <f>S10*Constants!$B$2</f>
        <v>40.319999999999993</v>
      </c>
      <c r="V10">
        <f t="shared" si="4"/>
        <v>0</v>
      </c>
      <c r="W10">
        <f t="shared" si="5"/>
        <v>0</v>
      </c>
      <c r="AA10" s="8"/>
      <c r="AJ10" s="4"/>
    </row>
    <row r="11" spans="1:40" x14ac:dyDescent="0.25">
      <c r="A11">
        <v>10</v>
      </c>
      <c r="B11">
        <v>9</v>
      </c>
      <c r="C11" t="s">
        <v>54</v>
      </c>
      <c r="D11" s="16" t="s">
        <v>611</v>
      </c>
      <c r="E11" s="16"/>
      <c r="F11">
        <v>14.96</v>
      </c>
      <c r="G11" t="s">
        <v>44</v>
      </c>
      <c r="H11">
        <v>0</v>
      </c>
      <c r="I11">
        <f>2*1.2*(2.5+4.5)</f>
        <v>16.8</v>
      </c>
      <c r="L11">
        <f>Constants!$B$2</f>
        <v>2.8</v>
      </c>
      <c r="M11" t="str">
        <f t="shared" si="0"/>
        <v>N/A</v>
      </c>
      <c r="N11">
        <f>P11*Constants!$E$2</f>
        <v>0</v>
      </c>
      <c r="P11">
        <f t="shared" si="1"/>
        <v>0</v>
      </c>
      <c r="Q11">
        <f>P11*Constants!$B$3</f>
        <v>0</v>
      </c>
      <c r="R11">
        <f t="shared" si="2"/>
        <v>0</v>
      </c>
      <c r="S11">
        <f t="shared" si="3"/>
        <v>16.8</v>
      </c>
      <c r="T11">
        <f>S11*Constants!$B$2</f>
        <v>47.04</v>
      </c>
      <c r="V11">
        <f t="shared" si="4"/>
        <v>0</v>
      </c>
      <c r="W11">
        <f t="shared" si="5"/>
        <v>0</v>
      </c>
      <c r="AA11" s="8"/>
      <c r="AJ11" s="4"/>
    </row>
    <row r="12" spans="1:40" x14ac:dyDescent="0.25">
      <c r="A12">
        <v>11</v>
      </c>
      <c r="B12">
        <v>9</v>
      </c>
      <c r="C12" t="s">
        <v>54</v>
      </c>
      <c r="D12" s="16" t="s">
        <v>612</v>
      </c>
      <c r="E12" s="16"/>
      <c r="F12">
        <v>14.96</v>
      </c>
      <c r="G12" t="s">
        <v>44</v>
      </c>
      <c r="H12">
        <v>0</v>
      </c>
      <c r="I12">
        <f>2*1.2*(2.5+4.5)</f>
        <v>16.8</v>
      </c>
      <c r="L12">
        <f>Constants!$B$2</f>
        <v>2.8</v>
      </c>
      <c r="M12" t="str">
        <f t="shared" ref="M12" si="6">IF(N12&gt;0,G12,"N/A")</f>
        <v>N/A</v>
      </c>
      <c r="N12">
        <f>P12*Constants!$E$2</f>
        <v>0</v>
      </c>
      <c r="P12">
        <f t="shared" ref="P12" si="7">H12</f>
        <v>0</v>
      </c>
      <c r="Q12">
        <f>P12*Constants!$B$3</f>
        <v>0</v>
      </c>
      <c r="R12">
        <f t="shared" ref="R12" si="8">IF(Q12-N12&lt;=0, 0, Q12-N12)</f>
        <v>0</v>
      </c>
      <c r="S12">
        <f t="shared" ref="S12" si="9">I12-P12</f>
        <v>16.8</v>
      </c>
      <c r="T12">
        <f>S12*Constants!$B$2</f>
        <v>47.04</v>
      </c>
      <c r="V12">
        <f t="shared" ref="V12" si="10">IF(B12="E",1,0)</f>
        <v>0</v>
      </c>
      <c r="W12">
        <f t="shared" ref="W12" si="11">IF(B12=10,1,0)</f>
        <v>0</v>
      </c>
      <c r="AA12" s="8"/>
      <c r="AJ12" s="4"/>
    </row>
    <row r="13" spans="1:40" x14ac:dyDescent="0.25">
      <c r="A13">
        <v>12</v>
      </c>
      <c r="B13">
        <v>9</v>
      </c>
      <c r="C13" t="s">
        <v>54</v>
      </c>
      <c r="D13" s="16" t="s">
        <v>613</v>
      </c>
      <c r="E13" s="16"/>
      <c r="F13">
        <v>14.96</v>
      </c>
      <c r="G13" t="s">
        <v>44</v>
      </c>
      <c r="H13">
        <v>0</v>
      </c>
      <c r="I13">
        <f>2*1.2*(2.5+4.5)</f>
        <v>16.8</v>
      </c>
      <c r="L13">
        <f>Constants!$B$2</f>
        <v>2.8</v>
      </c>
      <c r="M13" t="str">
        <f t="shared" ref="M13" si="12">IF(N13&gt;0,G13,"N/A")</f>
        <v>N/A</v>
      </c>
      <c r="N13">
        <f>P13*Constants!$E$2</f>
        <v>0</v>
      </c>
      <c r="P13">
        <f t="shared" ref="P13" si="13">H13</f>
        <v>0</v>
      </c>
      <c r="Q13">
        <f>P13*Constants!$B$3</f>
        <v>0</v>
      </c>
      <c r="R13">
        <f t="shared" ref="R13" si="14">IF(Q13-N13&lt;=0, 0, Q13-N13)</f>
        <v>0</v>
      </c>
      <c r="S13">
        <f t="shared" ref="S13" si="15">I13-P13</f>
        <v>16.8</v>
      </c>
      <c r="T13">
        <f>S13*Constants!$B$2</f>
        <v>47.04</v>
      </c>
      <c r="V13">
        <f t="shared" ref="V13" si="16">IF(B13="E",1,0)</f>
        <v>0</v>
      </c>
      <c r="W13">
        <f t="shared" ref="W13" si="17">IF(B13=10,1,0)</f>
        <v>0</v>
      </c>
      <c r="AA13" s="8"/>
      <c r="AJ13" s="4"/>
    </row>
    <row r="14" spans="1:40" x14ac:dyDescent="0.25">
      <c r="A14">
        <v>13</v>
      </c>
      <c r="B14">
        <v>9</v>
      </c>
      <c r="C14" t="s">
        <v>54</v>
      </c>
      <c r="D14" s="16" t="s">
        <v>614</v>
      </c>
      <c r="E14" s="16"/>
      <c r="F14">
        <v>14.9</v>
      </c>
      <c r="G14" t="s">
        <v>44</v>
      </c>
      <c r="H14">
        <v>0</v>
      </c>
      <c r="I14">
        <f>2*1.2*(2.5+4.5)</f>
        <v>16.8</v>
      </c>
      <c r="L14">
        <f>Constants!$B$2</f>
        <v>2.8</v>
      </c>
      <c r="M14" t="str">
        <f t="shared" ref="M14:M17" si="18">IF(N14&gt;0,G14,"N/A")</f>
        <v>N/A</v>
      </c>
      <c r="N14">
        <f>P14*Constants!$E$2</f>
        <v>0</v>
      </c>
      <c r="P14">
        <f t="shared" ref="P14:P17" si="19">H14</f>
        <v>0</v>
      </c>
      <c r="Q14">
        <f>P14*Constants!$B$3</f>
        <v>0</v>
      </c>
      <c r="R14">
        <f t="shared" ref="R14:R17" si="20">IF(Q14-N14&lt;=0, 0, Q14-N14)</f>
        <v>0</v>
      </c>
      <c r="S14">
        <f t="shared" ref="S14:S17" si="21">I14-P14</f>
        <v>16.8</v>
      </c>
      <c r="T14">
        <f>S14*Constants!$B$2</f>
        <v>47.04</v>
      </c>
      <c r="V14">
        <f t="shared" ref="V14:V17" si="22">IF(B14="E",1,0)</f>
        <v>0</v>
      </c>
      <c r="W14">
        <f t="shared" ref="W14:W17" si="23">IF(B14=10,1,0)</f>
        <v>0</v>
      </c>
      <c r="AA14" s="8"/>
      <c r="AJ14" s="4"/>
    </row>
    <row r="15" spans="1:40" x14ac:dyDescent="0.25">
      <c r="A15">
        <v>14</v>
      </c>
      <c r="B15">
        <v>9</v>
      </c>
      <c r="C15" t="s">
        <v>55</v>
      </c>
      <c r="D15" s="16" t="s">
        <v>615</v>
      </c>
      <c r="F15">
        <v>44.75</v>
      </c>
      <c r="G15" t="s">
        <v>44</v>
      </c>
      <c r="H15">
        <v>0</v>
      </c>
      <c r="I15">
        <f>2*1.2*(6.5+5)</f>
        <v>27.599999999999998</v>
      </c>
      <c r="L15">
        <f>Constants!$B$2</f>
        <v>2.8</v>
      </c>
      <c r="M15" t="str">
        <f t="shared" si="18"/>
        <v>N/A</v>
      </c>
      <c r="N15">
        <f>P15*Constants!$E$2</f>
        <v>0</v>
      </c>
      <c r="P15">
        <f t="shared" si="19"/>
        <v>0</v>
      </c>
      <c r="Q15">
        <f>P15*Constants!$B$3</f>
        <v>0</v>
      </c>
      <c r="R15">
        <f t="shared" si="20"/>
        <v>0</v>
      </c>
      <c r="S15">
        <f t="shared" si="21"/>
        <v>27.599999999999998</v>
      </c>
      <c r="T15">
        <f>S15*Constants!$B$2</f>
        <v>77.279999999999987</v>
      </c>
      <c r="V15">
        <f t="shared" si="22"/>
        <v>0</v>
      </c>
      <c r="W15">
        <f t="shared" si="23"/>
        <v>0</v>
      </c>
      <c r="AA15" s="8"/>
      <c r="AJ15" s="4"/>
    </row>
    <row r="16" spans="1:40" x14ac:dyDescent="0.25">
      <c r="A16">
        <v>15</v>
      </c>
      <c r="B16">
        <v>9</v>
      </c>
      <c r="C16" t="s">
        <v>64</v>
      </c>
      <c r="D16" s="16" t="s">
        <v>616</v>
      </c>
      <c r="E16" s="16"/>
      <c r="F16">
        <v>4.7</v>
      </c>
      <c r="G16" t="s">
        <v>44</v>
      </c>
      <c r="H16">
        <v>0</v>
      </c>
      <c r="I16">
        <f>2*1.2*(1.5+2.5)</f>
        <v>9.6</v>
      </c>
      <c r="L16">
        <f>Constants!$B$2</f>
        <v>2.8</v>
      </c>
      <c r="M16" t="str">
        <f t="shared" si="18"/>
        <v>N/A</v>
      </c>
      <c r="N16">
        <f>P16*Constants!$E$2</f>
        <v>0</v>
      </c>
      <c r="P16">
        <f t="shared" si="19"/>
        <v>0</v>
      </c>
      <c r="Q16">
        <f>P16*Constants!$B$3</f>
        <v>0</v>
      </c>
      <c r="R16">
        <f t="shared" si="20"/>
        <v>0</v>
      </c>
      <c r="S16">
        <f t="shared" si="21"/>
        <v>9.6</v>
      </c>
      <c r="T16">
        <f>S16*Constants!$B$2</f>
        <v>26.88</v>
      </c>
      <c r="V16">
        <f t="shared" si="22"/>
        <v>0</v>
      </c>
      <c r="W16">
        <f t="shared" si="23"/>
        <v>0</v>
      </c>
      <c r="AA16" s="8"/>
      <c r="AJ16" s="4"/>
    </row>
    <row r="17" spans="1:36" x14ac:dyDescent="0.25">
      <c r="A17">
        <v>16</v>
      </c>
      <c r="B17">
        <v>9</v>
      </c>
      <c r="C17" t="s">
        <v>64</v>
      </c>
      <c r="D17" s="16" t="s">
        <v>617</v>
      </c>
      <c r="E17" s="16"/>
      <c r="F17">
        <v>4.7</v>
      </c>
      <c r="G17" t="s">
        <v>44</v>
      </c>
      <c r="H17">
        <v>0</v>
      </c>
      <c r="I17">
        <f>2*1.2*(1.5+2.5)</f>
        <v>9.6</v>
      </c>
      <c r="L17">
        <f>Constants!$B$2</f>
        <v>2.8</v>
      </c>
      <c r="M17" t="str">
        <f t="shared" si="18"/>
        <v>N/A</v>
      </c>
      <c r="N17">
        <f>P17*Constants!$E$2</f>
        <v>0</v>
      </c>
      <c r="P17">
        <f t="shared" si="19"/>
        <v>0</v>
      </c>
      <c r="Q17">
        <f>P17*Constants!$B$3</f>
        <v>0</v>
      </c>
      <c r="R17">
        <f t="shared" si="20"/>
        <v>0</v>
      </c>
      <c r="S17">
        <f t="shared" si="21"/>
        <v>9.6</v>
      </c>
      <c r="T17">
        <f>S17*Constants!$B$2</f>
        <v>26.88</v>
      </c>
      <c r="V17">
        <f t="shared" si="22"/>
        <v>0</v>
      </c>
      <c r="W17">
        <f t="shared" si="23"/>
        <v>0</v>
      </c>
      <c r="AA17" s="8"/>
      <c r="AJ17" s="4"/>
    </row>
    <row r="18" spans="1:36" x14ac:dyDescent="0.25">
      <c r="D18" s="15"/>
    </row>
    <row r="19" spans="1:36" x14ac:dyDescent="0.25">
      <c r="D19" s="15"/>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4"/>
    </row>
    <row r="385" spans="4:4" x14ac:dyDescent="0.25">
      <c r="D385" s="14"/>
    </row>
    <row r="386" spans="4:4" x14ac:dyDescent="0.25">
      <c r="D386" s="13"/>
    </row>
    <row r="387" spans="4:4" x14ac:dyDescent="0.25">
      <c r="D387" s="13"/>
    </row>
    <row r="388" spans="4:4" x14ac:dyDescent="0.25">
      <c r="D388" s="13"/>
    </row>
    <row r="389" spans="4:4" x14ac:dyDescent="0.25">
      <c r="D389" s="13"/>
    </row>
    <row r="390" spans="4:4" x14ac:dyDescent="0.25">
      <c r="D390" s="13"/>
    </row>
    <row r="391" spans="4:4" x14ac:dyDescent="0.25">
      <c r="D391" s="13"/>
    </row>
    <row r="392" spans="4:4" x14ac:dyDescent="0.25">
      <c r="D392" s="13"/>
    </row>
    <row r="393" spans="4:4" x14ac:dyDescent="0.25">
      <c r="D393" s="13"/>
    </row>
  </sheetData>
  <phoneticPr fontId="5" type="noConversion"/>
  <pageMargins left="0.7" right="0.7" top="0.78740157499999996" bottom="0.78740157499999996"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84"/>
  <sheetViews>
    <sheetView zoomScaleNormal="100" workbookViewId="0">
      <pane xSplit="4" ySplit="1" topLeftCell="E2" activePane="bottomRight" state="frozen"/>
      <selection pane="topRight" activeCell="F1" sqref="F1"/>
      <selection pane="bottomLeft" activeCell="A2" sqref="A2"/>
      <selection pane="bottomRight" activeCell="C18" sqref="C18"/>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s="17" t="s">
        <v>62</v>
      </c>
      <c r="D2" s="16" t="s">
        <v>618</v>
      </c>
      <c r="F2">
        <v>111.2</v>
      </c>
      <c r="G2" t="s">
        <v>44</v>
      </c>
      <c r="H2">
        <v>0</v>
      </c>
      <c r="I2">
        <f>2*(28.8+2.3)</f>
        <v>62.2</v>
      </c>
      <c r="L2">
        <f>Constants!$B$2</f>
        <v>2.8</v>
      </c>
      <c r="M2" t="str">
        <f t="shared" ref="M2:M17" si="0">IF(N2&gt;0,G2,"N/A")</f>
        <v>N/A</v>
      </c>
      <c r="N2">
        <f>P2*Constants!$E$2</f>
        <v>0</v>
      </c>
      <c r="P2">
        <f>H2</f>
        <v>0</v>
      </c>
      <c r="Q2">
        <f>P2*Constants!$B$3</f>
        <v>0</v>
      </c>
      <c r="R2">
        <f>IF(Q2-N2&lt;=0, 0, Q2-N2)</f>
        <v>0</v>
      </c>
      <c r="S2">
        <f>I2-P2</f>
        <v>62.2</v>
      </c>
      <c r="T2">
        <f>S2*Constants!$B$2</f>
        <v>174.16</v>
      </c>
      <c r="V2">
        <f>IF(B2="E",1,0)</f>
        <v>0</v>
      </c>
      <c r="W2">
        <f>IF(B2=10,1,0)</f>
        <v>0</v>
      </c>
      <c r="AA2" s="8"/>
      <c r="AJ2" s="4"/>
    </row>
    <row r="3" spans="1:40" x14ac:dyDescent="0.25">
      <c r="A3">
        <v>2</v>
      </c>
      <c r="B3">
        <v>9</v>
      </c>
      <c r="C3" t="s">
        <v>67</v>
      </c>
      <c r="D3" s="16" t="s">
        <v>619</v>
      </c>
      <c r="F3">
        <v>9.9700000000000006</v>
      </c>
      <c r="G3" t="s">
        <v>44</v>
      </c>
      <c r="H3">
        <v>0</v>
      </c>
      <c r="I3">
        <f>2*1.2*(2.5+3)</f>
        <v>13.2</v>
      </c>
      <c r="L3">
        <f>Constants!$B$2</f>
        <v>2.8</v>
      </c>
      <c r="M3" t="str">
        <f t="shared" si="0"/>
        <v>N/A</v>
      </c>
      <c r="N3">
        <f>P3*Constants!$E$2</f>
        <v>0</v>
      </c>
      <c r="P3">
        <f t="shared" ref="P3:P17" si="1">H3</f>
        <v>0</v>
      </c>
      <c r="Q3">
        <f>P3*Constants!$B$3</f>
        <v>0</v>
      </c>
      <c r="R3">
        <f t="shared" ref="R3:R17" si="2">IF(Q3-N3&lt;=0, 0, Q3-N3)</f>
        <v>0</v>
      </c>
      <c r="S3">
        <f t="shared" ref="S3:S17" si="3">I3-P3</f>
        <v>13.2</v>
      </c>
      <c r="T3">
        <f>S3*Constants!$B$2</f>
        <v>36.959999999999994</v>
      </c>
      <c r="V3">
        <f t="shared" ref="V3:V17" si="4">IF(B3="E",1,0)</f>
        <v>0</v>
      </c>
      <c r="W3">
        <f t="shared" ref="W3:W17" si="5">IF(B3=10,1,0)</f>
        <v>0</v>
      </c>
      <c r="AA3" s="8"/>
      <c r="AJ3" s="4"/>
    </row>
    <row r="4" spans="1:40" x14ac:dyDescent="0.25">
      <c r="A4">
        <v>3</v>
      </c>
      <c r="B4">
        <v>9</v>
      </c>
      <c r="C4" t="s">
        <v>54</v>
      </c>
      <c r="D4" s="16" t="s">
        <v>620</v>
      </c>
      <c r="E4" s="16"/>
      <c r="F4">
        <v>17.54</v>
      </c>
      <c r="G4" t="s">
        <v>44</v>
      </c>
      <c r="H4">
        <v>0</v>
      </c>
      <c r="I4">
        <f>2*1.2*(3+4.5)</f>
        <v>18</v>
      </c>
      <c r="L4">
        <f>Constants!$B$2</f>
        <v>2.8</v>
      </c>
      <c r="M4" t="str">
        <f t="shared" si="0"/>
        <v>N/A</v>
      </c>
      <c r="N4">
        <f>P4*Constants!$E$2</f>
        <v>0</v>
      </c>
      <c r="P4">
        <f t="shared" si="1"/>
        <v>0</v>
      </c>
      <c r="Q4">
        <f>P4*Constants!$B$3</f>
        <v>0</v>
      </c>
      <c r="R4">
        <f t="shared" si="2"/>
        <v>0</v>
      </c>
      <c r="S4">
        <f t="shared" si="3"/>
        <v>18</v>
      </c>
      <c r="T4">
        <f>S4*Constants!$B$2</f>
        <v>50.4</v>
      </c>
      <c r="V4">
        <f t="shared" si="4"/>
        <v>0</v>
      </c>
      <c r="W4">
        <f t="shared" si="5"/>
        <v>0</v>
      </c>
      <c r="AA4" s="8"/>
      <c r="AJ4" s="4"/>
    </row>
    <row r="5" spans="1:40" x14ac:dyDescent="0.25">
      <c r="A5">
        <v>4</v>
      </c>
      <c r="B5">
        <v>9</v>
      </c>
      <c r="C5" t="s">
        <v>50</v>
      </c>
      <c r="D5" s="16" t="s">
        <v>621</v>
      </c>
      <c r="F5">
        <v>9.83</v>
      </c>
      <c r="G5" t="s">
        <v>44</v>
      </c>
      <c r="H5">
        <v>0</v>
      </c>
      <c r="I5">
        <f>2*1.2*(2.5+3)</f>
        <v>13.2</v>
      </c>
      <c r="L5">
        <f>Constants!$B$2</f>
        <v>2.8</v>
      </c>
      <c r="M5" t="str">
        <f t="shared" si="0"/>
        <v>N/A</v>
      </c>
      <c r="N5">
        <f>P5*Constants!$E$2</f>
        <v>0</v>
      </c>
      <c r="P5">
        <f t="shared" si="1"/>
        <v>0</v>
      </c>
      <c r="Q5">
        <f>P5*Constants!$B$3</f>
        <v>0</v>
      </c>
      <c r="R5">
        <f t="shared" si="2"/>
        <v>0</v>
      </c>
      <c r="S5">
        <f t="shared" si="3"/>
        <v>13.2</v>
      </c>
      <c r="T5">
        <f>S5*Constants!$B$2</f>
        <v>36.959999999999994</v>
      </c>
      <c r="V5">
        <f t="shared" si="4"/>
        <v>0</v>
      </c>
      <c r="W5">
        <f t="shared" si="5"/>
        <v>0</v>
      </c>
      <c r="AA5" s="8"/>
      <c r="AJ5" s="4"/>
    </row>
    <row r="6" spans="1:40" x14ac:dyDescent="0.25">
      <c r="A6">
        <v>5</v>
      </c>
      <c r="B6">
        <v>9</v>
      </c>
      <c r="C6" t="s">
        <v>54</v>
      </c>
      <c r="D6" s="16" t="s">
        <v>622</v>
      </c>
      <c r="E6" s="16"/>
      <c r="F6">
        <v>19.61</v>
      </c>
      <c r="G6" t="s">
        <v>44</v>
      </c>
      <c r="H6">
        <v>0</v>
      </c>
      <c r="I6">
        <f>2*1.2*(3+5)</f>
        <v>19.2</v>
      </c>
      <c r="L6">
        <f>Constants!$B$2</f>
        <v>2.8</v>
      </c>
      <c r="M6" t="str">
        <f t="shared" si="0"/>
        <v>N/A</v>
      </c>
      <c r="N6">
        <f>P6*Constants!$E$2</f>
        <v>0</v>
      </c>
      <c r="P6">
        <f t="shared" si="1"/>
        <v>0</v>
      </c>
      <c r="Q6">
        <f>P6*Constants!$B$3</f>
        <v>0</v>
      </c>
      <c r="R6">
        <f t="shared" si="2"/>
        <v>0</v>
      </c>
      <c r="S6">
        <f t="shared" si="3"/>
        <v>19.2</v>
      </c>
      <c r="T6">
        <f>S6*Constants!$B$2</f>
        <v>53.76</v>
      </c>
      <c r="V6">
        <f t="shared" si="4"/>
        <v>0</v>
      </c>
      <c r="W6">
        <f t="shared" si="5"/>
        <v>0</v>
      </c>
      <c r="AA6" s="8"/>
      <c r="AJ6" s="4"/>
    </row>
    <row r="7" spans="1:40" x14ac:dyDescent="0.25">
      <c r="A7">
        <v>6</v>
      </c>
      <c r="B7">
        <v>9</v>
      </c>
      <c r="C7" t="s">
        <v>54</v>
      </c>
      <c r="D7" s="16" t="s">
        <v>623</v>
      </c>
      <c r="E7" s="16"/>
      <c r="F7">
        <v>10.97</v>
      </c>
      <c r="G7" t="s">
        <v>44</v>
      </c>
      <c r="H7">
        <v>0</v>
      </c>
      <c r="I7">
        <f>2*1.2*(2.5+3.5)</f>
        <v>14.399999999999999</v>
      </c>
      <c r="L7">
        <f>Constants!$B$2</f>
        <v>2.8</v>
      </c>
      <c r="M7" t="str">
        <f t="shared" si="0"/>
        <v>N/A</v>
      </c>
      <c r="N7">
        <f>P7*Constants!$E$2</f>
        <v>0</v>
      </c>
      <c r="P7">
        <f t="shared" si="1"/>
        <v>0</v>
      </c>
      <c r="Q7">
        <f>P7*Constants!$B$3</f>
        <v>0</v>
      </c>
      <c r="R7">
        <f t="shared" si="2"/>
        <v>0</v>
      </c>
      <c r="S7">
        <f t="shared" si="3"/>
        <v>14.399999999999999</v>
      </c>
      <c r="T7">
        <f>S7*Constants!$B$2</f>
        <v>40.319999999999993</v>
      </c>
      <c r="V7">
        <f t="shared" si="4"/>
        <v>0</v>
      </c>
      <c r="W7">
        <f t="shared" si="5"/>
        <v>0</v>
      </c>
      <c r="AA7" s="8"/>
      <c r="AJ7" s="4"/>
    </row>
    <row r="8" spans="1:40" x14ac:dyDescent="0.25">
      <c r="A8">
        <v>7</v>
      </c>
      <c r="B8">
        <v>9</v>
      </c>
      <c r="C8" t="s">
        <v>54</v>
      </c>
      <c r="D8" s="16" t="s">
        <v>624</v>
      </c>
      <c r="E8" s="16"/>
      <c r="F8">
        <v>10.97</v>
      </c>
      <c r="G8" t="s">
        <v>44</v>
      </c>
      <c r="H8">
        <v>0</v>
      </c>
      <c r="I8">
        <f>2*1.2*(2.5+3.5)</f>
        <v>14.399999999999999</v>
      </c>
      <c r="L8">
        <f>Constants!$B$2</f>
        <v>2.8</v>
      </c>
      <c r="M8" t="str">
        <f t="shared" si="0"/>
        <v>N/A</v>
      </c>
      <c r="N8">
        <f>P8*Constants!$E$2</f>
        <v>0</v>
      </c>
      <c r="P8">
        <f t="shared" si="1"/>
        <v>0</v>
      </c>
      <c r="Q8">
        <f>P8*Constants!$B$3</f>
        <v>0</v>
      </c>
      <c r="R8">
        <f t="shared" si="2"/>
        <v>0</v>
      </c>
      <c r="S8">
        <f t="shared" si="3"/>
        <v>14.399999999999999</v>
      </c>
      <c r="T8">
        <f>S8*Constants!$B$2</f>
        <v>40.319999999999993</v>
      </c>
      <c r="V8">
        <f t="shared" si="4"/>
        <v>0</v>
      </c>
      <c r="W8">
        <f t="shared" si="5"/>
        <v>0</v>
      </c>
      <c r="AA8" s="8"/>
      <c r="AJ8" s="4"/>
    </row>
    <row r="9" spans="1:40" x14ac:dyDescent="0.25">
      <c r="A9">
        <v>8</v>
      </c>
      <c r="B9">
        <v>9</v>
      </c>
      <c r="C9" t="s">
        <v>62</v>
      </c>
      <c r="D9" s="16" t="s">
        <v>625</v>
      </c>
      <c r="F9">
        <v>27.02</v>
      </c>
      <c r="G9" t="s">
        <v>44</v>
      </c>
      <c r="H9">
        <v>0</v>
      </c>
      <c r="I9">
        <f>2*1.2*(3.5+5.5)</f>
        <v>21.599999999999998</v>
      </c>
      <c r="L9">
        <f>Constants!$B$2</f>
        <v>2.8</v>
      </c>
      <c r="M9" t="str">
        <f t="shared" si="0"/>
        <v>N/A</v>
      </c>
      <c r="N9">
        <f>P9*Constants!$E$2</f>
        <v>0</v>
      </c>
      <c r="P9">
        <f t="shared" si="1"/>
        <v>0</v>
      </c>
      <c r="Q9">
        <f>P9*Constants!$B$3</f>
        <v>0</v>
      </c>
      <c r="R9">
        <f t="shared" si="2"/>
        <v>0</v>
      </c>
      <c r="S9">
        <f t="shared" si="3"/>
        <v>21.599999999999998</v>
      </c>
      <c r="T9">
        <f>S9*Constants!$B$2</f>
        <v>60.47999999999999</v>
      </c>
      <c r="V9">
        <f t="shared" si="4"/>
        <v>0</v>
      </c>
      <c r="W9">
        <f t="shared" si="5"/>
        <v>0</v>
      </c>
      <c r="AA9" s="8"/>
      <c r="AJ9" s="4"/>
    </row>
    <row r="10" spans="1:40" x14ac:dyDescent="0.25">
      <c r="A10">
        <v>9</v>
      </c>
      <c r="B10">
        <v>9</v>
      </c>
      <c r="C10" t="s">
        <v>54</v>
      </c>
      <c r="D10" s="16" t="s">
        <v>626</v>
      </c>
      <c r="E10" s="16"/>
      <c r="F10">
        <v>24.41</v>
      </c>
      <c r="G10" t="s">
        <v>44</v>
      </c>
      <c r="H10">
        <v>0</v>
      </c>
      <c r="I10">
        <f>2*1.2*(4+4.5)</f>
        <v>20.399999999999999</v>
      </c>
      <c r="L10">
        <f>Constants!$B$2</f>
        <v>2.8</v>
      </c>
      <c r="M10" t="str">
        <f t="shared" si="0"/>
        <v>N/A</v>
      </c>
      <c r="N10">
        <f>P10*Constants!$E$2</f>
        <v>0</v>
      </c>
      <c r="P10">
        <f t="shared" si="1"/>
        <v>0</v>
      </c>
      <c r="Q10">
        <f>P10*Constants!$B$3</f>
        <v>0</v>
      </c>
      <c r="R10">
        <f t="shared" si="2"/>
        <v>0</v>
      </c>
      <c r="S10">
        <f t="shared" si="3"/>
        <v>20.399999999999999</v>
      </c>
      <c r="T10">
        <f>S10*Constants!$B$2</f>
        <v>57.11999999999999</v>
      </c>
      <c r="V10">
        <f t="shared" si="4"/>
        <v>0</v>
      </c>
      <c r="W10">
        <f t="shared" si="5"/>
        <v>0</v>
      </c>
      <c r="AA10" s="8"/>
      <c r="AJ10" s="4"/>
    </row>
    <row r="11" spans="1:40" x14ac:dyDescent="0.25">
      <c r="A11">
        <v>10</v>
      </c>
      <c r="B11">
        <v>9</v>
      </c>
      <c r="C11" t="s">
        <v>54</v>
      </c>
      <c r="D11" s="16" t="s">
        <v>627</v>
      </c>
      <c r="E11" s="16"/>
      <c r="F11">
        <v>14.96</v>
      </c>
      <c r="G11" t="s">
        <v>44</v>
      </c>
      <c r="H11">
        <v>0</v>
      </c>
      <c r="I11">
        <f>2*1.2*(2.5+4.5)</f>
        <v>16.8</v>
      </c>
      <c r="L11">
        <f>Constants!$B$2</f>
        <v>2.8</v>
      </c>
      <c r="M11" t="str">
        <f t="shared" si="0"/>
        <v>N/A</v>
      </c>
      <c r="N11">
        <f>P11*Constants!$E$2</f>
        <v>0</v>
      </c>
      <c r="P11">
        <f t="shared" si="1"/>
        <v>0</v>
      </c>
      <c r="Q11">
        <f>P11*Constants!$B$3</f>
        <v>0</v>
      </c>
      <c r="R11">
        <f t="shared" si="2"/>
        <v>0</v>
      </c>
      <c r="S11">
        <f t="shared" si="3"/>
        <v>16.8</v>
      </c>
      <c r="T11">
        <f>S11*Constants!$B$2</f>
        <v>47.04</v>
      </c>
      <c r="V11">
        <f t="shared" si="4"/>
        <v>0</v>
      </c>
      <c r="W11">
        <f t="shared" si="5"/>
        <v>0</v>
      </c>
      <c r="AA11" s="8"/>
      <c r="AJ11" s="4"/>
    </row>
    <row r="12" spans="1:40" x14ac:dyDescent="0.25">
      <c r="A12">
        <v>11</v>
      </c>
      <c r="B12">
        <v>9</v>
      </c>
      <c r="C12" t="s">
        <v>54</v>
      </c>
      <c r="D12" s="16" t="s">
        <v>628</v>
      </c>
      <c r="F12">
        <v>14.96</v>
      </c>
      <c r="G12" t="s">
        <v>44</v>
      </c>
      <c r="H12">
        <v>0</v>
      </c>
      <c r="I12">
        <f>2*1.2*(2.5+4.5)</f>
        <v>16.8</v>
      </c>
      <c r="L12">
        <f>Constants!$B$2</f>
        <v>2.8</v>
      </c>
      <c r="M12" t="str">
        <f t="shared" si="0"/>
        <v>N/A</v>
      </c>
      <c r="N12">
        <f>P12*Constants!$E$2</f>
        <v>0</v>
      </c>
      <c r="P12">
        <f t="shared" si="1"/>
        <v>0</v>
      </c>
      <c r="Q12">
        <f>P12*Constants!$B$3</f>
        <v>0</v>
      </c>
      <c r="R12">
        <f t="shared" si="2"/>
        <v>0</v>
      </c>
      <c r="S12">
        <f t="shared" si="3"/>
        <v>16.8</v>
      </c>
      <c r="T12">
        <f>S12*Constants!$B$2</f>
        <v>47.04</v>
      </c>
      <c r="V12">
        <f t="shared" si="4"/>
        <v>0</v>
      </c>
      <c r="W12">
        <f t="shared" si="5"/>
        <v>0</v>
      </c>
      <c r="AA12" s="8"/>
      <c r="AJ12" s="4"/>
    </row>
    <row r="13" spans="1:40" x14ac:dyDescent="0.25">
      <c r="A13">
        <v>12</v>
      </c>
      <c r="B13">
        <v>9</v>
      </c>
      <c r="C13" t="s">
        <v>54</v>
      </c>
      <c r="D13" s="16" t="s">
        <v>629</v>
      </c>
      <c r="E13" s="16"/>
      <c r="F13">
        <v>14.96</v>
      </c>
      <c r="G13" t="s">
        <v>44</v>
      </c>
      <c r="H13">
        <v>0</v>
      </c>
      <c r="I13">
        <f>2*1.2*(2.5+4.5)</f>
        <v>16.8</v>
      </c>
      <c r="L13">
        <f>Constants!$B$2</f>
        <v>2.8</v>
      </c>
      <c r="M13" t="str">
        <f t="shared" si="0"/>
        <v>N/A</v>
      </c>
      <c r="N13">
        <f>P13*Constants!$E$2</f>
        <v>0</v>
      </c>
      <c r="P13">
        <f t="shared" si="1"/>
        <v>0</v>
      </c>
      <c r="Q13">
        <f>P13*Constants!$B$3</f>
        <v>0</v>
      </c>
      <c r="R13">
        <f t="shared" si="2"/>
        <v>0</v>
      </c>
      <c r="S13">
        <f t="shared" si="3"/>
        <v>16.8</v>
      </c>
      <c r="T13">
        <f>S13*Constants!$B$2</f>
        <v>47.04</v>
      </c>
      <c r="V13">
        <f t="shared" si="4"/>
        <v>0</v>
      </c>
      <c r="W13">
        <f t="shared" si="5"/>
        <v>0</v>
      </c>
      <c r="AA13" s="8"/>
      <c r="AJ13" s="4"/>
    </row>
    <row r="14" spans="1:40" x14ac:dyDescent="0.25">
      <c r="A14">
        <v>13</v>
      </c>
      <c r="B14">
        <v>9</v>
      </c>
      <c r="C14" s="17" t="s">
        <v>54</v>
      </c>
      <c r="D14" s="16" t="s">
        <v>630</v>
      </c>
      <c r="F14">
        <v>14.96</v>
      </c>
      <c r="G14" t="s">
        <v>44</v>
      </c>
      <c r="H14">
        <v>0</v>
      </c>
      <c r="I14">
        <f>2*1.2*(2.5+4.5)</f>
        <v>16.8</v>
      </c>
      <c r="L14">
        <f>Constants!$B$2</f>
        <v>2.8</v>
      </c>
      <c r="M14" t="str">
        <f t="shared" si="0"/>
        <v>N/A</v>
      </c>
      <c r="N14">
        <f>P14*Constants!$E$2</f>
        <v>0</v>
      </c>
      <c r="P14">
        <f t="shared" si="1"/>
        <v>0</v>
      </c>
      <c r="Q14">
        <f>P14*Constants!$B$3</f>
        <v>0</v>
      </c>
      <c r="R14">
        <f t="shared" si="2"/>
        <v>0</v>
      </c>
      <c r="S14">
        <f t="shared" si="3"/>
        <v>16.8</v>
      </c>
      <c r="T14">
        <f>S14*Constants!$B$2</f>
        <v>47.04</v>
      </c>
      <c r="V14">
        <f t="shared" si="4"/>
        <v>0</v>
      </c>
      <c r="W14">
        <f t="shared" si="5"/>
        <v>0</v>
      </c>
      <c r="AA14" s="8"/>
      <c r="AJ14" s="4"/>
    </row>
    <row r="15" spans="1:40" x14ac:dyDescent="0.25">
      <c r="A15">
        <v>14</v>
      </c>
      <c r="B15">
        <v>9</v>
      </c>
      <c r="C15" t="s">
        <v>55</v>
      </c>
      <c r="D15" s="16" t="s">
        <v>631</v>
      </c>
      <c r="E15" s="16"/>
      <c r="F15">
        <v>44.89</v>
      </c>
      <c r="G15" t="s">
        <v>44</v>
      </c>
      <c r="H15">
        <v>0</v>
      </c>
      <c r="I15">
        <f>2*1.2*(5+6.5)</f>
        <v>27.599999999999998</v>
      </c>
      <c r="L15">
        <f>Constants!$B$2</f>
        <v>2.8</v>
      </c>
      <c r="M15" t="str">
        <f t="shared" si="0"/>
        <v>N/A</v>
      </c>
      <c r="N15">
        <f>P15*Constants!$E$2</f>
        <v>0</v>
      </c>
      <c r="P15">
        <f t="shared" si="1"/>
        <v>0</v>
      </c>
      <c r="Q15">
        <f>P15*Constants!$B$3</f>
        <v>0</v>
      </c>
      <c r="R15">
        <f t="shared" si="2"/>
        <v>0</v>
      </c>
      <c r="S15">
        <f t="shared" si="3"/>
        <v>27.599999999999998</v>
      </c>
      <c r="T15">
        <f>S15*Constants!$B$2</f>
        <v>77.279999999999987</v>
      </c>
      <c r="V15">
        <f t="shared" si="4"/>
        <v>0</v>
      </c>
      <c r="W15">
        <f t="shared" si="5"/>
        <v>0</v>
      </c>
      <c r="AA15" s="8"/>
      <c r="AJ15" s="4"/>
    </row>
    <row r="16" spans="1:40" x14ac:dyDescent="0.25">
      <c r="A16">
        <v>15</v>
      </c>
      <c r="B16">
        <v>9</v>
      </c>
      <c r="C16" t="s">
        <v>64</v>
      </c>
      <c r="D16" s="16" t="s">
        <v>632</v>
      </c>
      <c r="F16">
        <v>4.7</v>
      </c>
      <c r="G16" t="s">
        <v>44</v>
      </c>
      <c r="H16">
        <v>0</v>
      </c>
      <c r="I16">
        <f>2*1.2*(2.5+1.5)</f>
        <v>9.6</v>
      </c>
      <c r="L16">
        <f>Constants!$B$2</f>
        <v>2.8</v>
      </c>
      <c r="M16" t="str">
        <f t="shared" si="0"/>
        <v>N/A</v>
      </c>
      <c r="N16">
        <f>P16*Constants!$E$2</f>
        <v>0</v>
      </c>
      <c r="P16">
        <f t="shared" si="1"/>
        <v>0</v>
      </c>
      <c r="Q16">
        <f>P16*Constants!$B$3</f>
        <v>0</v>
      </c>
      <c r="R16">
        <f t="shared" si="2"/>
        <v>0</v>
      </c>
      <c r="S16">
        <f t="shared" si="3"/>
        <v>9.6</v>
      </c>
      <c r="T16">
        <f>S16*Constants!$B$2</f>
        <v>26.88</v>
      </c>
      <c r="V16">
        <f t="shared" si="4"/>
        <v>0</v>
      </c>
      <c r="W16">
        <f t="shared" si="5"/>
        <v>0</v>
      </c>
      <c r="AA16" s="8"/>
      <c r="AJ16" s="4"/>
    </row>
    <row r="17" spans="1:36" x14ac:dyDescent="0.25">
      <c r="A17">
        <v>16</v>
      </c>
      <c r="B17">
        <v>9</v>
      </c>
      <c r="C17" t="s">
        <v>64</v>
      </c>
      <c r="D17" s="16" t="s">
        <v>633</v>
      </c>
      <c r="E17" s="16"/>
      <c r="F17">
        <v>4.7</v>
      </c>
      <c r="G17" t="s">
        <v>44</v>
      </c>
      <c r="H17">
        <v>0</v>
      </c>
      <c r="I17">
        <f>2*1.2*(2.5+1.5)</f>
        <v>9.6</v>
      </c>
      <c r="L17">
        <f>Constants!$B$2</f>
        <v>2.8</v>
      </c>
      <c r="M17" t="str">
        <f t="shared" si="0"/>
        <v>N/A</v>
      </c>
      <c r="N17">
        <f>P17*Constants!$E$2</f>
        <v>0</v>
      </c>
      <c r="P17">
        <f t="shared" si="1"/>
        <v>0</v>
      </c>
      <c r="Q17">
        <f>P17*Constants!$B$3</f>
        <v>0</v>
      </c>
      <c r="R17">
        <f t="shared" si="2"/>
        <v>0</v>
      </c>
      <c r="S17">
        <f t="shared" si="3"/>
        <v>9.6</v>
      </c>
      <c r="T17">
        <f>S17*Constants!$B$2</f>
        <v>26.88</v>
      </c>
      <c r="V17">
        <f t="shared" si="4"/>
        <v>0</v>
      </c>
      <c r="W17">
        <f t="shared" si="5"/>
        <v>0</v>
      </c>
      <c r="AA17" s="8"/>
      <c r="AJ17" s="4"/>
    </row>
    <row r="18" spans="1:36" x14ac:dyDescent="0.25">
      <c r="D18" s="15"/>
    </row>
    <row r="19" spans="1:36" x14ac:dyDescent="0.25">
      <c r="D19" s="15"/>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4"/>
    </row>
    <row r="376" spans="4:4" x14ac:dyDescent="0.25">
      <c r="D376" s="14"/>
    </row>
    <row r="377" spans="4:4" x14ac:dyDescent="0.25">
      <c r="D377" s="13"/>
    </row>
    <row r="378" spans="4:4" x14ac:dyDescent="0.25">
      <c r="D378" s="13"/>
    </row>
    <row r="379" spans="4:4" x14ac:dyDescent="0.25">
      <c r="D379" s="13"/>
    </row>
    <row r="380" spans="4:4" x14ac:dyDescent="0.25">
      <c r="D380" s="13"/>
    </row>
    <row r="381" spans="4:4" x14ac:dyDescent="0.25">
      <c r="D381" s="13"/>
    </row>
    <row r="382" spans="4:4" x14ac:dyDescent="0.25">
      <c r="D382" s="13"/>
    </row>
    <row r="383" spans="4:4" x14ac:dyDescent="0.25">
      <c r="D383" s="13"/>
    </row>
    <row r="384" spans="4:4" x14ac:dyDescent="0.25">
      <c r="D384" s="13"/>
    </row>
  </sheetData>
  <pageMargins left="0.7" right="0.7" top="0.78740157499999996" bottom="0.78740157499999996"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04"/>
  <sheetViews>
    <sheetView zoomScaleNormal="100" workbookViewId="0">
      <pane xSplit="4" ySplit="1" topLeftCell="H2" activePane="bottomRight" state="frozen"/>
      <selection pane="topRight" activeCell="F1" sqref="F1"/>
      <selection pane="bottomLeft" activeCell="A2" sqref="A2"/>
      <selection pane="bottomRight" activeCell="C6" sqref="C6"/>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s="17" t="s">
        <v>62</v>
      </c>
      <c r="D2" s="16" t="s">
        <v>634</v>
      </c>
      <c r="F2">
        <v>75.41</v>
      </c>
      <c r="G2" t="s">
        <v>44</v>
      </c>
      <c r="H2">
        <v>0</v>
      </c>
      <c r="I2">
        <f>2*1.2*(2+24)</f>
        <v>62.4</v>
      </c>
      <c r="L2">
        <f>Constants!$B$2</f>
        <v>2.8</v>
      </c>
      <c r="M2" t="str">
        <f t="shared" ref="M2:M17" si="0">IF(N2&gt;0,G2,"N/A")</f>
        <v>N/A</v>
      </c>
      <c r="N2">
        <f>P2*Constants!$E$2</f>
        <v>0</v>
      </c>
      <c r="P2">
        <f>H2</f>
        <v>0</v>
      </c>
      <c r="Q2">
        <f>P2*Constants!$B$3</f>
        <v>0</v>
      </c>
      <c r="R2">
        <f>IF(Q2-N2&lt;=0, 0, Q2-N2)</f>
        <v>0</v>
      </c>
      <c r="S2">
        <f>I2-P2</f>
        <v>62.4</v>
      </c>
      <c r="T2">
        <f>S2*Constants!$B$2</f>
        <v>174.72</v>
      </c>
      <c r="V2">
        <f>IF(B2="E",1,0)</f>
        <v>0</v>
      </c>
      <c r="W2">
        <f>IF(B2=10,1,0)</f>
        <v>0</v>
      </c>
      <c r="AA2" s="8"/>
      <c r="AJ2" s="4"/>
    </row>
    <row r="3" spans="1:40" x14ac:dyDescent="0.25">
      <c r="A3">
        <v>2</v>
      </c>
      <c r="B3">
        <v>9</v>
      </c>
      <c r="C3" t="s">
        <v>49</v>
      </c>
      <c r="D3" s="16" t="s">
        <v>635</v>
      </c>
      <c r="F3">
        <v>26.07</v>
      </c>
      <c r="G3">
        <v>90</v>
      </c>
      <c r="H3">
        <f>3*1.2</f>
        <v>3.5999999999999996</v>
      </c>
      <c r="I3">
        <f>2*1.2*(4+3)</f>
        <v>16.8</v>
      </c>
      <c r="L3">
        <f>Constants!$B$2</f>
        <v>2.8</v>
      </c>
      <c r="M3">
        <f t="shared" si="0"/>
        <v>90</v>
      </c>
      <c r="N3">
        <f>P3*Constants!$E$2</f>
        <v>6.1199999999999992</v>
      </c>
      <c r="P3">
        <f t="shared" ref="P3:P17" si="1">H3</f>
        <v>3.5999999999999996</v>
      </c>
      <c r="Q3">
        <f>P3*Constants!$B$3</f>
        <v>15.119999999999996</v>
      </c>
      <c r="R3">
        <f t="shared" ref="R3:R17" si="2">IF(Q3-N3&lt;=0, 0, Q3-N3)</f>
        <v>8.9999999999999964</v>
      </c>
      <c r="S3">
        <f t="shared" ref="S3:S17" si="3">I3-P3</f>
        <v>13.200000000000001</v>
      </c>
      <c r="T3">
        <f>S3*Constants!$B$2</f>
        <v>36.96</v>
      </c>
      <c r="V3">
        <f t="shared" ref="V3:V17" si="4">IF(B3="E",1,0)</f>
        <v>0</v>
      </c>
      <c r="W3">
        <f t="shared" ref="W3:W17" si="5">IF(B3=10,1,0)</f>
        <v>0</v>
      </c>
      <c r="AA3" s="8"/>
      <c r="AJ3" s="4"/>
    </row>
    <row r="4" spans="1:40" x14ac:dyDescent="0.25">
      <c r="A4">
        <v>3</v>
      </c>
      <c r="B4">
        <v>9</v>
      </c>
      <c r="C4" t="s">
        <v>57</v>
      </c>
      <c r="D4" s="16" t="s">
        <v>636</v>
      </c>
      <c r="E4" s="16" t="s">
        <v>635</v>
      </c>
      <c r="F4">
        <v>3.71</v>
      </c>
      <c r="G4" t="s">
        <v>44</v>
      </c>
      <c r="H4">
        <v>0</v>
      </c>
      <c r="I4">
        <v>8.5500000000000007</v>
      </c>
      <c r="L4">
        <f>Constants!$B$2</f>
        <v>2.8</v>
      </c>
      <c r="M4" t="str">
        <f t="shared" si="0"/>
        <v>N/A</v>
      </c>
      <c r="N4">
        <f>P4*Constants!$E$2</f>
        <v>0</v>
      </c>
      <c r="P4">
        <f t="shared" si="1"/>
        <v>0</v>
      </c>
      <c r="Q4">
        <f>P4*Constants!$B$3</f>
        <v>0</v>
      </c>
      <c r="R4">
        <f t="shared" si="2"/>
        <v>0</v>
      </c>
      <c r="S4">
        <f t="shared" si="3"/>
        <v>8.5500000000000007</v>
      </c>
      <c r="T4">
        <f>S4*Constants!$B$2</f>
        <v>23.94</v>
      </c>
      <c r="V4">
        <f t="shared" si="4"/>
        <v>0</v>
      </c>
      <c r="W4">
        <f t="shared" si="5"/>
        <v>0</v>
      </c>
      <c r="AA4" s="8"/>
      <c r="AJ4" s="4"/>
    </row>
    <row r="5" spans="1:40" x14ac:dyDescent="0.25">
      <c r="A5">
        <v>4</v>
      </c>
      <c r="B5">
        <v>9</v>
      </c>
      <c r="C5" t="s">
        <v>49</v>
      </c>
      <c r="D5" s="16" t="s">
        <v>637</v>
      </c>
      <c r="F5">
        <v>26.07</v>
      </c>
      <c r="G5">
        <v>90</v>
      </c>
      <c r="H5">
        <f>3*1.2</f>
        <v>3.5999999999999996</v>
      </c>
      <c r="I5">
        <f>2*1.2*(6.5+3)</f>
        <v>22.8</v>
      </c>
      <c r="L5">
        <f>Constants!$B$2</f>
        <v>2.8</v>
      </c>
      <c r="M5">
        <f t="shared" si="0"/>
        <v>90</v>
      </c>
      <c r="N5">
        <f>P5*Constants!$E$2</f>
        <v>6.1199999999999992</v>
      </c>
      <c r="P5">
        <f t="shared" si="1"/>
        <v>3.5999999999999996</v>
      </c>
      <c r="Q5">
        <f>P5*Constants!$B$3</f>
        <v>15.119999999999996</v>
      </c>
      <c r="R5">
        <f t="shared" si="2"/>
        <v>8.9999999999999964</v>
      </c>
      <c r="S5">
        <f t="shared" si="3"/>
        <v>19.200000000000003</v>
      </c>
      <c r="T5">
        <f>S5*Constants!$B$2</f>
        <v>53.760000000000005</v>
      </c>
      <c r="V5">
        <f t="shared" si="4"/>
        <v>0</v>
      </c>
      <c r="W5">
        <f t="shared" si="5"/>
        <v>0</v>
      </c>
      <c r="AA5" s="8"/>
      <c r="AJ5" s="4"/>
    </row>
    <row r="6" spans="1:40" x14ac:dyDescent="0.25">
      <c r="A6">
        <v>5</v>
      </c>
      <c r="B6">
        <v>9</v>
      </c>
      <c r="C6" t="s">
        <v>57</v>
      </c>
      <c r="D6" s="16" t="s">
        <v>638</v>
      </c>
      <c r="E6" s="16" t="s">
        <v>637</v>
      </c>
      <c r="F6">
        <v>3.71</v>
      </c>
      <c r="G6" t="s">
        <v>44</v>
      </c>
      <c r="H6">
        <v>0</v>
      </c>
      <c r="I6">
        <v>8.5500000000000007</v>
      </c>
      <c r="L6">
        <f>Constants!$B$2</f>
        <v>2.8</v>
      </c>
      <c r="M6" t="str">
        <f t="shared" si="0"/>
        <v>N/A</v>
      </c>
      <c r="N6">
        <f>P6*Constants!$E$2</f>
        <v>0</v>
      </c>
      <c r="P6">
        <f t="shared" si="1"/>
        <v>0</v>
      </c>
      <c r="Q6">
        <f>P6*Constants!$B$3</f>
        <v>0</v>
      </c>
      <c r="R6">
        <f t="shared" si="2"/>
        <v>0</v>
      </c>
      <c r="S6">
        <f t="shared" si="3"/>
        <v>8.5500000000000007</v>
      </c>
      <c r="T6">
        <f>S6*Constants!$B$2</f>
        <v>23.94</v>
      </c>
      <c r="V6">
        <f t="shared" si="4"/>
        <v>0</v>
      </c>
      <c r="W6">
        <f t="shared" si="5"/>
        <v>0</v>
      </c>
      <c r="AA6" s="8"/>
      <c r="AJ6" s="4"/>
    </row>
    <row r="7" spans="1:40" x14ac:dyDescent="0.25">
      <c r="A7">
        <v>6</v>
      </c>
      <c r="B7">
        <v>9</v>
      </c>
      <c r="C7" t="s">
        <v>49</v>
      </c>
      <c r="D7" s="16" t="s">
        <v>639</v>
      </c>
      <c r="F7">
        <v>26.07</v>
      </c>
      <c r="G7">
        <v>90</v>
      </c>
      <c r="H7">
        <f>3*1.2</f>
        <v>3.5999999999999996</v>
      </c>
      <c r="I7">
        <f>2*1.2*(6.5+3)</f>
        <v>22.8</v>
      </c>
      <c r="L7">
        <f>Constants!$B$2</f>
        <v>2.8</v>
      </c>
      <c r="M7">
        <f t="shared" si="0"/>
        <v>90</v>
      </c>
      <c r="N7">
        <f>P7*Constants!$E$2</f>
        <v>6.1199999999999992</v>
      </c>
      <c r="P7">
        <f t="shared" si="1"/>
        <v>3.5999999999999996</v>
      </c>
      <c r="Q7">
        <f>P7*Constants!$B$3</f>
        <v>15.119999999999996</v>
      </c>
      <c r="R7">
        <f t="shared" si="2"/>
        <v>8.9999999999999964</v>
      </c>
      <c r="S7">
        <f t="shared" si="3"/>
        <v>19.200000000000003</v>
      </c>
      <c r="T7">
        <f>S7*Constants!$B$2</f>
        <v>53.760000000000005</v>
      </c>
      <c r="V7">
        <f t="shared" si="4"/>
        <v>0</v>
      </c>
      <c r="W7">
        <f t="shared" si="5"/>
        <v>0</v>
      </c>
      <c r="AA7" s="8"/>
      <c r="AJ7" s="4"/>
    </row>
    <row r="8" spans="1:40" x14ac:dyDescent="0.25">
      <c r="A8">
        <v>7</v>
      </c>
      <c r="B8">
        <v>9</v>
      </c>
      <c r="C8" t="s">
        <v>57</v>
      </c>
      <c r="D8" s="16" t="s">
        <v>640</v>
      </c>
      <c r="E8" s="16" t="s">
        <v>639</v>
      </c>
      <c r="F8">
        <v>3.71</v>
      </c>
      <c r="G8" t="s">
        <v>44</v>
      </c>
      <c r="H8">
        <v>0</v>
      </c>
      <c r="I8">
        <v>8.5500000000000007</v>
      </c>
      <c r="L8">
        <f>Constants!$B$2</f>
        <v>2.8</v>
      </c>
      <c r="M8" t="str">
        <f t="shared" si="0"/>
        <v>N/A</v>
      </c>
      <c r="N8">
        <f>P8*Constants!$E$2</f>
        <v>0</v>
      </c>
      <c r="P8">
        <f t="shared" si="1"/>
        <v>0</v>
      </c>
      <c r="Q8">
        <f>P8*Constants!$B$3</f>
        <v>0</v>
      </c>
      <c r="R8">
        <f t="shared" si="2"/>
        <v>0</v>
      </c>
      <c r="S8">
        <f t="shared" si="3"/>
        <v>8.5500000000000007</v>
      </c>
      <c r="T8">
        <f>S8*Constants!$B$2</f>
        <v>23.94</v>
      </c>
      <c r="V8">
        <f t="shared" si="4"/>
        <v>0</v>
      </c>
      <c r="W8">
        <f t="shared" si="5"/>
        <v>0</v>
      </c>
      <c r="AA8" s="8"/>
      <c r="AJ8" s="4"/>
    </row>
    <row r="9" spans="1:40" x14ac:dyDescent="0.25">
      <c r="A9">
        <v>8</v>
      </c>
      <c r="B9">
        <v>9</v>
      </c>
      <c r="C9" t="s">
        <v>49</v>
      </c>
      <c r="D9" s="16" t="s">
        <v>641</v>
      </c>
      <c r="F9">
        <v>25.92</v>
      </c>
      <c r="G9">
        <v>90</v>
      </c>
      <c r="H9">
        <f>3*1.2</f>
        <v>3.5999999999999996</v>
      </c>
      <c r="I9">
        <f>2*1.2*(6.5+3)</f>
        <v>22.8</v>
      </c>
      <c r="L9">
        <f>Constants!$B$2</f>
        <v>2.8</v>
      </c>
      <c r="M9">
        <f t="shared" si="0"/>
        <v>90</v>
      </c>
      <c r="N9">
        <f>P9*Constants!$E$2</f>
        <v>6.1199999999999992</v>
      </c>
      <c r="P9">
        <f t="shared" si="1"/>
        <v>3.5999999999999996</v>
      </c>
      <c r="Q9">
        <f>P9*Constants!$B$3</f>
        <v>15.119999999999996</v>
      </c>
      <c r="R9">
        <f t="shared" si="2"/>
        <v>8.9999999999999964</v>
      </c>
      <c r="S9">
        <f t="shared" si="3"/>
        <v>19.200000000000003</v>
      </c>
      <c r="T9">
        <f>S9*Constants!$B$2</f>
        <v>53.760000000000005</v>
      </c>
      <c r="V9">
        <f t="shared" si="4"/>
        <v>0</v>
      </c>
      <c r="W9">
        <f t="shared" si="5"/>
        <v>0</v>
      </c>
      <c r="AA9" s="8"/>
      <c r="AJ9" s="4"/>
    </row>
    <row r="10" spans="1:40" x14ac:dyDescent="0.25">
      <c r="A10">
        <v>9</v>
      </c>
      <c r="B10">
        <v>9</v>
      </c>
      <c r="C10" t="s">
        <v>57</v>
      </c>
      <c r="D10" s="16" t="s">
        <v>642</v>
      </c>
      <c r="E10" s="16" t="s">
        <v>641</v>
      </c>
      <c r="F10">
        <v>3.71</v>
      </c>
      <c r="G10" t="s">
        <v>44</v>
      </c>
      <c r="H10">
        <v>0</v>
      </c>
      <c r="I10">
        <v>8.5500000000000007</v>
      </c>
      <c r="L10">
        <f>Constants!$B$2</f>
        <v>2.8</v>
      </c>
      <c r="M10" t="str">
        <f t="shared" si="0"/>
        <v>N/A</v>
      </c>
      <c r="N10">
        <f>P10*Constants!$E$2</f>
        <v>0</v>
      </c>
      <c r="P10">
        <f t="shared" si="1"/>
        <v>0</v>
      </c>
      <c r="Q10">
        <f>P10*Constants!$B$3</f>
        <v>0</v>
      </c>
      <c r="R10">
        <f t="shared" si="2"/>
        <v>0</v>
      </c>
      <c r="S10">
        <f t="shared" si="3"/>
        <v>8.5500000000000007</v>
      </c>
      <c r="T10">
        <f>S10*Constants!$B$2</f>
        <v>23.94</v>
      </c>
      <c r="V10">
        <f t="shared" si="4"/>
        <v>0</v>
      </c>
      <c r="W10">
        <f t="shared" si="5"/>
        <v>0</v>
      </c>
      <c r="AA10" s="8"/>
      <c r="AJ10" s="4"/>
    </row>
    <row r="11" spans="1:40" x14ac:dyDescent="0.25">
      <c r="A11">
        <v>10</v>
      </c>
      <c r="B11">
        <v>9</v>
      </c>
      <c r="C11" t="s">
        <v>49</v>
      </c>
      <c r="D11" s="16" t="s">
        <v>643</v>
      </c>
      <c r="F11">
        <v>25.92</v>
      </c>
      <c r="G11">
        <v>90</v>
      </c>
      <c r="H11">
        <f>3*1.2</f>
        <v>3.5999999999999996</v>
      </c>
      <c r="I11">
        <f>2*1.2*(6.5+3)</f>
        <v>22.8</v>
      </c>
      <c r="L11">
        <f>Constants!$B$2</f>
        <v>2.8</v>
      </c>
      <c r="M11">
        <f t="shared" si="0"/>
        <v>90</v>
      </c>
      <c r="N11">
        <f>P11*Constants!$E$2</f>
        <v>6.1199999999999992</v>
      </c>
      <c r="P11">
        <f t="shared" si="1"/>
        <v>3.5999999999999996</v>
      </c>
      <c r="Q11">
        <f>P11*Constants!$B$3</f>
        <v>15.119999999999996</v>
      </c>
      <c r="R11">
        <f t="shared" si="2"/>
        <v>8.9999999999999964</v>
      </c>
      <c r="S11">
        <f t="shared" si="3"/>
        <v>19.200000000000003</v>
      </c>
      <c r="T11">
        <f>S11*Constants!$B$2</f>
        <v>53.760000000000005</v>
      </c>
      <c r="V11">
        <f t="shared" si="4"/>
        <v>0</v>
      </c>
      <c r="W11">
        <f t="shared" si="5"/>
        <v>0</v>
      </c>
      <c r="AA11" s="8"/>
      <c r="AJ11" s="4"/>
    </row>
    <row r="12" spans="1:40" x14ac:dyDescent="0.25">
      <c r="A12">
        <v>11</v>
      </c>
      <c r="B12">
        <v>9</v>
      </c>
      <c r="C12" t="s">
        <v>57</v>
      </c>
      <c r="D12" s="16" t="s">
        <v>644</v>
      </c>
      <c r="E12" s="16" t="s">
        <v>643</v>
      </c>
      <c r="F12">
        <v>3.71</v>
      </c>
      <c r="G12" t="s">
        <v>44</v>
      </c>
      <c r="H12">
        <v>0</v>
      </c>
      <c r="I12">
        <v>8.5500000000000007</v>
      </c>
      <c r="L12">
        <f>Constants!$B$2</f>
        <v>2.8</v>
      </c>
      <c r="M12" t="str">
        <f t="shared" si="0"/>
        <v>N/A</v>
      </c>
      <c r="N12">
        <f>P12*Constants!$E$2</f>
        <v>0</v>
      </c>
      <c r="P12">
        <f t="shared" si="1"/>
        <v>0</v>
      </c>
      <c r="Q12">
        <f>P12*Constants!$B$3</f>
        <v>0</v>
      </c>
      <c r="R12">
        <f t="shared" si="2"/>
        <v>0</v>
      </c>
      <c r="S12">
        <f t="shared" si="3"/>
        <v>8.5500000000000007</v>
      </c>
      <c r="T12">
        <f>S12*Constants!$B$2</f>
        <v>23.94</v>
      </c>
      <c r="V12">
        <f t="shared" si="4"/>
        <v>0</v>
      </c>
      <c r="W12">
        <f t="shared" si="5"/>
        <v>0</v>
      </c>
      <c r="AA12" s="8"/>
      <c r="AJ12" s="4"/>
    </row>
    <row r="13" spans="1:40" x14ac:dyDescent="0.25">
      <c r="A13">
        <v>12</v>
      </c>
      <c r="B13">
        <v>9</v>
      </c>
      <c r="C13" t="s">
        <v>49</v>
      </c>
      <c r="D13" s="16" t="s">
        <v>645</v>
      </c>
      <c r="F13">
        <v>26.07</v>
      </c>
      <c r="G13">
        <v>90</v>
      </c>
      <c r="H13">
        <f>3*1.2</f>
        <v>3.5999999999999996</v>
      </c>
      <c r="I13">
        <f>2*1.2*(6.5+3)</f>
        <v>22.8</v>
      </c>
      <c r="L13">
        <f>Constants!$B$2</f>
        <v>2.8</v>
      </c>
      <c r="M13">
        <f t="shared" si="0"/>
        <v>90</v>
      </c>
      <c r="N13">
        <f>P13*Constants!$E$2</f>
        <v>6.1199999999999992</v>
      </c>
      <c r="P13">
        <f t="shared" si="1"/>
        <v>3.5999999999999996</v>
      </c>
      <c r="Q13">
        <f>P13*Constants!$B$3</f>
        <v>15.119999999999996</v>
      </c>
      <c r="R13">
        <f t="shared" si="2"/>
        <v>8.9999999999999964</v>
      </c>
      <c r="S13">
        <f t="shared" si="3"/>
        <v>19.200000000000003</v>
      </c>
      <c r="T13">
        <f>S13*Constants!$B$2</f>
        <v>53.760000000000005</v>
      </c>
      <c r="V13">
        <f t="shared" si="4"/>
        <v>0</v>
      </c>
      <c r="W13">
        <f t="shared" si="5"/>
        <v>0</v>
      </c>
      <c r="AA13" s="8"/>
      <c r="AJ13" s="4"/>
    </row>
    <row r="14" spans="1:40" x14ac:dyDescent="0.25">
      <c r="A14">
        <v>13</v>
      </c>
      <c r="B14">
        <v>9</v>
      </c>
      <c r="C14" t="s">
        <v>57</v>
      </c>
      <c r="D14" s="16" t="s">
        <v>646</v>
      </c>
      <c r="E14" s="16" t="s">
        <v>645</v>
      </c>
      <c r="F14">
        <v>3.71</v>
      </c>
      <c r="G14" t="s">
        <v>44</v>
      </c>
      <c r="H14">
        <v>0</v>
      </c>
      <c r="I14">
        <v>8.5500000000000007</v>
      </c>
      <c r="L14">
        <f>Constants!$B$2</f>
        <v>2.8</v>
      </c>
      <c r="M14" t="str">
        <f t="shared" si="0"/>
        <v>N/A</v>
      </c>
      <c r="N14">
        <f>P14*Constants!$E$2</f>
        <v>0</v>
      </c>
      <c r="P14">
        <f t="shared" si="1"/>
        <v>0</v>
      </c>
      <c r="Q14">
        <f>P14*Constants!$B$3</f>
        <v>0</v>
      </c>
      <c r="R14">
        <f t="shared" si="2"/>
        <v>0</v>
      </c>
      <c r="S14">
        <f t="shared" si="3"/>
        <v>8.5500000000000007</v>
      </c>
      <c r="T14">
        <f>S14*Constants!$B$2</f>
        <v>23.94</v>
      </c>
      <c r="V14">
        <f t="shared" si="4"/>
        <v>0</v>
      </c>
      <c r="W14">
        <f t="shared" si="5"/>
        <v>0</v>
      </c>
      <c r="AA14" s="8"/>
      <c r="AJ14" s="4"/>
    </row>
    <row r="15" spans="1:40" x14ac:dyDescent="0.25">
      <c r="A15">
        <v>14</v>
      </c>
      <c r="B15">
        <v>9</v>
      </c>
      <c r="C15" t="s">
        <v>49</v>
      </c>
      <c r="D15" s="16" t="s">
        <v>647</v>
      </c>
      <c r="F15">
        <v>26.07</v>
      </c>
      <c r="G15">
        <v>90</v>
      </c>
      <c r="H15">
        <f>3*1.2</f>
        <v>3.5999999999999996</v>
      </c>
      <c r="I15">
        <f>2*1.2*(6.5+3)</f>
        <v>22.8</v>
      </c>
      <c r="L15">
        <f>Constants!$B$2</f>
        <v>2.8</v>
      </c>
      <c r="M15">
        <f t="shared" si="0"/>
        <v>90</v>
      </c>
      <c r="N15">
        <f>P15*Constants!$E$2</f>
        <v>6.1199999999999992</v>
      </c>
      <c r="P15">
        <f t="shared" si="1"/>
        <v>3.5999999999999996</v>
      </c>
      <c r="Q15">
        <f>P15*Constants!$B$3</f>
        <v>15.119999999999996</v>
      </c>
      <c r="R15">
        <f t="shared" si="2"/>
        <v>8.9999999999999964</v>
      </c>
      <c r="S15">
        <f t="shared" si="3"/>
        <v>19.200000000000003</v>
      </c>
      <c r="T15">
        <f>S15*Constants!$B$2</f>
        <v>53.760000000000005</v>
      </c>
      <c r="V15">
        <f t="shared" si="4"/>
        <v>0</v>
      </c>
      <c r="W15">
        <f t="shared" si="5"/>
        <v>0</v>
      </c>
      <c r="AA15" s="8"/>
      <c r="AJ15" s="4"/>
    </row>
    <row r="16" spans="1:40" x14ac:dyDescent="0.25">
      <c r="A16">
        <v>15</v>
      </c>
      <c r="B16">
        <v>9</v>
      </c>
      <c r="C16" t="s">
        <v>57</v>
      </c>
      <c r="D16" s="16" t="s">
        <v>656</v>
      </c>
      <c r="E16" s="16" t="s">
        <v>647</v>
      </c>
      <c r="F16">
        <v>3.71</v>
      </c>
      <c r="G16" t="s">
        <v>44</v>
      </c>
      <c r="H16">
        <v>0</v>
      </c>
      <c r="I16">
        <v>8.5500000000000007</v>
      </c>
      <c r="L16">
        <f>Constants!$B$2</f>
        <v>2.8</v>
      </c>
      <c r="M16" t="str">
        <f t="shared" si="0"/>
        <v>N/A</v>
      </c>
      <c r="N16">
        <f>P16*Constants!$E$2</f>
        <v>0</v>
      </c>
      <c r="P16">
        <f t="shared" si="1"/>
        <v>0</v>
      </c>
      <c r="Q16">
        <f>P16*Constants!$B$3</f>
        <v>0</v>
      </c>
      <c r="R16">
        <f t="shared" si="2"/>
        <v>0</v>
      </c>
      <c r="S16">
        <f t="shared" si="3"/>
        <v>8.5500000000000007</v>
      </c>
      <c r="T16">
        <f>S16*Constants!$B$2</f>
        <v>23.94</v>
      </c>
      <c r="V16">
        <f t="shared" si="4"/>
        <v>0</v>
      </c>
      <c r="W16">
        <f t="shared" si="5"/>
        <v>0</v>
      </c>
      <c r="AA16" s="8"/>
      <c r="AJ16" s="4"/>
    </row>
    <row r="17" spans="1:36" x14ac:dyDescent="0.25">
      <c r="A17">
        <v>16</v>
      </c>
      <c r="B17">
        <v>9</v>
      </c>
      <c r="C17" t="s">
        <v>49</v>
      </c>
      <c r="D17" s="16" t="s">
        <v>648</v>
      </c>
      <c r="F17">
        <v>26.07</v>
      </c>
      <c r="G17">
        <v>90</v>
      </c>
      <c r="H17">
        <f>3*1.2</f>
        <v>3.5999999999999996</v>
      </c>
      <c r="I17">
        <f>2*1.2*(6.5+3)</f>
        <v>22.8</v>
      </c>
      <c r="L17">
        <f>Constants!$B$2</f>
        <v>2.8</v>
      </c>
      <c r="M17">
        <f t="shared" si="0"/>
        <v>90</v>
      </c>
      <c r="N17">
        <f>P17*Constants!$E$2</f>
        <v>6.1199999999999992</v>
      </c>
      <c r="P17">
        <f t="shared" si="1"/>
        <v>3.5999999999999996</v>
      </c>
      <c r="Q17">
        <f>P17*Constants!$B$3</f>
        <v>15.119999999999996</v>
      </c>
      <c r="R17">
        <f t="shared" si="2"/>
        <v>8.9999999999999964</v>
      </c>
      <c r="S17">
        <f t="shared" si="3"/>
        <v>19.200000000000003</v>
      </c>
      <c r="T17">
        <f>S17*Constants!$B$2</f>
        <v>53.760000000000005</v>
      </c>
      <c r="V17">
        <f t="shared" si="4"/>
        <v>0</v>
      </c>
      <c r="W17">
        <f t="shared" si="5"/>
        <v>0</v>
      </c>
      <c r="AA17" s="8"/>
      <c r="AJ17" s="4"/>
    </row>
    <row r="18" spans="1:36" x14ac:dyDescent="0.25">
      <c r="A18">
        <v>17</v>
      </c>
      <c r="B18">
        <v>9</v>
      </c>
      <c r="C18" t="s">
        <v>57</v>
      </c>
      <c r="D18" s="16" t="s">
        <v>649</v>
      </c>
      <c r="E18" s="16" t="s">
        <v>648</v>
      </c>
      <c r="F18">
        <v>3.71</v>
      </c>
      <c r="G18" t="s">
        <v>44</v>
      </c>
      <c r="H18">
        <v>0</v>
      </c>
      <c r="I18">
        <v>8.5500000000000007</v>
      </c>
      <c r="L18">
        <f>Constants!$B$2</f>
        <v>2.8</v>
      </c>
      <c r="M18" t="str">
        <f t="shared" ref="M18:M20" si="6">IF(N18&gt;0,G18,"N/A")</f>
        <v>N/A</v>
      </c>
      <c r="N18">
        <f>P18*Constants!$E$2</f>
        <v>0</v>
      </c>
      <c r="P18">
        <f t="shared" ref="P18:P20" si="7">H18</f>
        <v>0</v>
      </c>
      <c r="Q18">
        <f>P18*Constants!$B$3</f>
        <v>0</v>
      </c>
      <c r="R18">
        <f t="shared" ref="R18:R20" si="8">IF(Q18-N18&lt;=0, 0, Q18-N18)</f>
        <v>0</v>
      </c>
      <c r="S18">
        <f t="shared" ref="S18:S20" si="9">I18-P18</f>
        <v>8.5500000000000007</v>
      </c>
      <c r="T18">
        <f>S18*Constants!$B$2</f>
        <v>23.94</v>
      </c>
      <c r="V18">
        <f t="shared" ref="V18:V20" si="10">IF(B18="E",1,0)</f>
        <v>0</v>
      </c>
      <c r="W18">
        <f t="shared" ref="W18:W20" si="11">IF(B18=10,1,0)</f>
        <v>0</v>
      </c>
      <c r="AA18" s="8"/>
      <c r="AJ18" s="4"/>
    </row>
    <row r="19" spans="1:36" x14ac:dyDescent="0.25">
      <c r="A19">
        <v>18</v>
      </c>
      <c r="B19">
        <v>9</v>
      </c>
      <c r="C19" t="s">
        <v>45</v>
      </c>
      <c r="D19" s="16" t="s">
        <v>650</v>
      </c>
      <c r="F19">
        <v>5.69</v>
      </c>
      <c r="G19" t="s">
        <v>44</v>
      </c>
      <c r="H19">
        <v>0</v>
      </c>
      <c r="I19">
        <f>2*1.2*(1.5+3)</f>
        <v>10.799999999999999</v>
      </c>
      <c r="L19">
        <f>Constants!$B$2</f>
        <v>2.8</v>
      </c>
      <c r="M19" t="str">
        <f t="shared" si="6"/>
        <v>N/A</v>
      </c>
      <c r="N19">
        <f>P19*Constants!$E$2</f>
        <v>0</v>
      </c>
      <c r="P19">
        <f t="shared" si="7"/>
        <v>0</v>
      </c>
      <c r="Q19">
        <f>P19*Constants!$B$3</f>
        <v>0</v>
      </c>
      <c r="R19">
        <f t="shared" si="8"/>
        <v>0</v>
      </c>
      <c r="S19">
        <f t="shared" si="9"/>
        <v>10.799999999999999</v>
      </c>
      <c r="T19">
        <f>S19*Constants!$B$2</f>
        <v>30.239999999999995</v>
      </c>
      <c r="V19">
        <f t="shared" si="10"/>
        <v>0</v>
      </c>
      <c r="W19">
        <f t="shared" si="11"/>
        <v>0</v>
      </c>
      <c r="AA19" s="8"/>
      <c r="AJ19" s="4"/>
    </row>
    <row r="20" spans="1:36" x14ac:dyDescent="0.25">
      <c r="A20">
        <v>19</v>
      </c>
      <c r="B20">
        <v>9</v>
      </c>
      <c r="C20" t="s">
        <v>67</v>
      </c>
      <c r="D20" s="16" t="s">
        <v>651</v>
      </c>
      <c r="F20">
        <v>7.76</v>
      </c>
      <c r="G20" t="s">
        <v>44</v>
      </c>
      <c r="H20">
        <v>0</v>
      </c>
      <c r="I20">
        <f>2*1.2*(2+3)</f>
        <v>12</v>
      </c>
      <c r="L20">
        <f>Constants!$B$2</f>
        <v>2.8</v>
      </c>
      <c r="M20" t="str">
        <f t="shared" si="6"/>
        <v>N/A</v>
      </c>
      <c r="N20">
        <f>P20*Constants!$E$2</f>
        <v>0</v>
      </c>
      <c r="P20">
        <f t="shared" si="7"/>
        <v>0</v>
      </c>
      <c r="Q20">
        <f>P20*Constants!$B$3</f>
        <v>0</v>
      </c>
      <c r="R20">
        <f t="shared" si="8"/>
        <v>0</v>
      </c>
      <c r="S20">
        <f t="shared" si="9"/>
        <v>12</v>
      </c>
      <c r="T20">
        <f>S20*Constants!$B$2</f>
        <v>33.599999999999994</v>
      </c>
      <c r="V20">
        <f t="shared" si="10"/>
        <v>0</v>
      </c>
      <c r="W20">
        <f t="shared" si="11"/>
        <v>0</v>
      </c>
      <c r="AA20" s="8"/>
      <c r="AJ20" s="4"/>
    </row>
    <row r="21" spans="1:36" x14ac:dyDescent="0.25">
      <c r="A21">
        <v>20</v>
      </c>
      <c r="B21">
        <v>9</v>
      </c>
      <c r="C21" t="s">
        <v>73</v>
      </c>
      <c r="D21" s="16" t="s">
        <v>652</v>
      </c>
      <c r="E21" s="16"/>
      <c r="F21">
        <v>9</v>
      </c>
      <c r="G21" t="s">
        <v>44</v>
      </c>
      <c r="H21">
        <v>0</v>
      </c>
      <c r="I21">
        <f>2*1.2*(2.5+3)</f>
        <v>13.2</v>
      </c>
      <c r="L21">
        <f>Constants!$B$2</f>
        <v>2.8</v>
      </c>
      <c r="M21" t="str">
        <f t="shared" ref="M21:M22" si="12">IF(N21&gt;0,G21,"N/A")</f>
        <v>N/A</v>
      </c>
      <c r="N21">
        <f>P21*Constants!$E$2</f>
        <v>0</v>
      </c>
      <c r="P21">
        <f t="shared" ref="P21:P22" si="13">H21</f>
        <v>0</v>
      </c>
      <c r="Q21">
        <f>P21*Constants!$B$3</f>
        <v>0</v>
      </c>
      <c r="R21">
        <f t="shared" ref="R21:R22" si="14">IF(Q21-N21&lt;=0, 0, Q21-N21)</f>
        <v>0</v>
      </c>
      <c r="S21">
        <f t="shared" ref="S21:S22" si="15">I21-P21</f>
        <v>13.2</v>
      </c>
      <c r="T21">
        <f>S21*Constants!$B$2</f>
        <v>36.959999999999994</v>
      </c>
      <c r="V21">
        <f t="shared" ref="V21:V22" si="16">IF(B21="E",1,0)</f>
        <v>0</v>
      </c>
      <c r="W21">
        <f t="shared" ref="W21:W22" si="17">IF(B21=10,1,0)</f>
        <v>0</v>
      </c>
      <c r="AA21" s="8"/>
      <c r="AJ21" s="4"/>
    </row>
    <row r="22" spans="1:36" x14ac:dyDescent="0.25">
      <c r="A22">
        <v>21</v>
      </c>
      <c r="B22">
        <v>9</v>
      </c>
      <c r="C22" t="s">
        <v>66</v>
      </c>
      <c r="D22" s="16" t="s">
        <v>653</v>
      </c>
      <c r="F22">
        <v>13.82</v>
      </c>
      <c r="G22" t="s">
        <v>44</v>
      </c>
      <c r="H22">
        <v>0</v>
      </c>
      <c r="I22">
        <f>2*1.2*(3.5+3)</f>
        <v>15.6</v>
      </c>
      <c r="L22">
        <f>Constants!$B$2</f>
        <v>2.8</v>
      </c>
      <c r="M22" t="str">
        <f t="shared" si="12"/>
        <v>N/A</v>
      </c>
      <c r="N22">
        <f>P22*Constants!$E$2</f>
        <v>0</v>
      </c>
      <c r="P22">
        <f t="shared" si="13"/>
        <v>0</v>
      </c>
      <c r="Q22">
        <f>P22*Constants!$B$3</f>
        <v>0</v>
      </c>
      <c r="R22">
        <f t="shared" si="14"/>
        <v>0</v>
      </c>
      <c r="S22">
        <f t="shared" si="15"/>
        <v>15.6</v>
      </c>
      <c r="T22">
        <f>S22*Constants!$B$2</f>
        <v>43.68</v>
      </c>
      <c r="V22">
        <f t="shared" si="16"/>
        <v>0</v>
      </c>
      <c r="W22">
        <f t="shared" si="17"/>
        <v>0</v>
      </c>
      <c r="AA22" s="8"/>
      <c r="AJ22" s="4"/>
    </row>
    <row r="23" spans="1:36" x14ac:dyDescent="0.25">
      <c r="A23">
        <v>22</v>
      </c>
      <c r="B23">
        <v>9</v>
      </c>
      <c r="C23" t="s">
        <v>59</v>
      </c>
      <c r="D23" s="16" t="s">
        <v>654</v>
      </c>
      <c r="E23" s="16"/>
      <c r="F23">
        <v>18.03</v>
      </c>
      <c r="G23" t="s">
        <v>44</v>
      </c>
      <c r="H23">
        <v>0</v>
      </c>
      <c r="I23">
        <f>2*1.2*(3+4.5)</f>
        <v>18</v>
      </c>
      <c r="L23">
        <f>Constants!$B$2</f>
        <v>2.8</v>
      </c>
      <c r="M23" t="str">
        <f t="shared" ref="M23" si="18">IF(N23&gt;0,G23,"N/A")</f>
        <v>N/A</v>
      </c>
      <c r="N23">
        <f>P23*Constants!$E$2</f>
        <v>0</v>
      </c>
      <c r="P23">
        <f t="shared" ref="P23" si="19">H23</f>
        <v>0</v>
      </c>
      <c r="Q23">
        <f>P23*Constants!$B$3</f>
        <v>0</v>
      </c>
      <c r="R23">
        <f t="shared" ref="R23" si="20">IF(Q23-N23&lt;=0, 0, Q23-N23)</f>
        <v>0</v>
      </c>
      <c r="S23">
        <f t="shared" ref="S23" si="21">I23-P23</f>
        <v>18</v>
      </c>
      <c r="T23">
        <f>S23*Constants!$B$2</f>
        <v>50.4</v>
      </c>
      <c r="V23">
        <f t="shared" ref="V23" si="22">IF(B23="E",1,0)</f>
        <v>0</v>
      </c>
      <c r="W23">
        <f t="shared" ref="W23" si="23">IF(B23=10,1,0)</f>
        <v>0</v>
      </c>
      <c r="AA23" s="8"/>
      <c r="AJ23" s="4"/>
    </row>
    <row r="24" spans="1:36" x14ac:dyDescent="0.25">
      <c r="A24">
        <v>23</v>
      </c>
      <c r="B24">
        <v>9</v>
      </c>
      <c r="C24" t="s">
        <v>57</v>
      </c>
      <c r="D24" s="16" t="s">
        <v>657</v>
      </c>
      <c r="E24" s="16"/>
      <c r="F24">
        <v>9.5399999999999991</v>
      </c>
      <c r="G24" t="s">
        <v>44</v>
      </c>
      <c r="H24">
        <v>0</v>
      </c>
      <c r="I24">
        <f>2*1.2*(2.5+3)</f>
        <v>13.2</v>
      </c>
      <c r="L24">
        <f>Constants!$B$2</f>
        <v>2.8</v>
      </c>
      <c r="M24" t="str">
        <f t="shared" ref="M24" si="24">IF(N24&gt;0,G24,"N/A")</f>
        <v>N/A</v>
      </c>
      <c r="N24">
        <f>P24*Constants!$E$2</f>
        <v>0</v>
      </c>
      <c r="P24">
        <f t="shared" ref="P24" si="25">H24</f>
        <v>0</v>
      </c>
      <c r="Q24">
        <f>P24*Constants!$B$3</f>
        <v>0</v>
      </c>
      <c r="R24">
        <f t="shared" ref="R24" si="26">IF(Q24-N24&lt;=0, 0, Q24-N24)</f>
        <v>0</v>
      </c>
      <c r="S24">
        <f t="shared" ref="S24" si="27">I24-P24</f>
        <v>13.2</v>
      </c>
      <c r="T24">
        <f>S24*Constants!$B$2</f>
        <v>36.959999999999994</v>
      </c>
      <c r="V24">
        <f t="shared" ref="V24" si="28">IF(B24="E",1,0)</f>
        <v>0</v>
      </c>
      <c r="W24">
        <f t="shared" ref="W24" si="29">IF(B24=10,1,0)</f>
        <v>0</v>
      </c>
      <c r="AA24" s="8"/>
      <c r="AJ24" s="4"/>
    </row>
    <row r="25" spans="1:36" x14ac:dyDescent="0.25">
      <c r="A25">
        <v>24</v>
      </c>
      <c r="B25">
        <v>9</v>
      </c>
      <c r="C25" t="s">
        <v>57</v>
      </c>
      <c r="D25" s="16" t="s">
        <v>655</v>
      </c>
      <c r="E25" s="16"/>
      <c r="F25">
        <v>9.5399999999999991</v>
      </c>
      <c r="G25" t="s">
        <v>44</v>
      </c>
      <c r="H25">
        <v>0</v>
      </c>
      <c r="I25">
        <f>2*1.2*(2.5+3)</f>
        <v>13.2</v>
      </c>
      <c r="L25">
        <f>Constants!$B$2</f>
        <v>2.8</v>
      </c>
      <c r="M25" t="str">
        <f t="shared" ref="M25" si="30">IF(N25&gt;0,G25,"N/A")</f>
        <v>N/A</v>
      </c>
      <c r="N25">
        <f>P25*Constants!$E$2</f>
        <v>0</v>
      </c>
      <c r="P25">
        <f t="shared" ref="P25" si="31">H25</f>
        <v>0</v>
      </c>
      <c r="Q25">
        <f>P25*Constants!$B$3</f>
        <v>0</v>
      </c>
      <c r="R25">
        <f t="shared" ref="R25" si="32">IF(Q25-N25&lt;=0, 0, Q25-N25)</f>
        <v>0</v>
      </c>
      <c r="S25">
        <f t="shared" ref="S25" si="33">I25-P25</f>
        <v>13.2</v>
      </c>
      <c r="T25">
        <f>S25*Constants!$B$2</f>
        <v>36.959999999999994</v>
      </c>
      <c r="V25">
        <f t="shared" ref="V25" si="34">IF(B25="E",1,0)</f>
        <v>0</v>
      </c>
      <c r="W25">
        <f t="shared" ref="W25" si="35">IF(B25=10,1,0)</f>
        <v>0</v>
      </c>
      <c r="AA25" s="8"/>
      <c r="AJ25" s="4"/>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4"/>
    </row>
    <row r="396" spans="4:4" x14ac:dyDescent="0.25">
      <c r="D396" s="14"/>
    </row>
    <row r="397" spans="4:4" x14ac:dyDescent="0.25">
      <c r="D397" s="13"/>
    </row>
    <row r="398" spans="4:4" x14ac:dyDescent="0.25">
      <c r="D398" s="13"/>
    </row>
    <row r="399" spans="4:4" x14ac:dyDescent="0.25">
      <c r="D399" s="13"/>
    </row>
    <row r="400" spans="4:4" x14ac:dyDescent="0.25">
      <c r="D400" s="13"/>
    </row>
    <row r="401" spans="4:4" x14ac:dyDescent="0.25">
      <c r="D401" s="13"/>
    </row>
    <row r="402" spans="4:4" x14ac:dyDescent="0.25">
      <c r="D402" s="13"/>
    </row>
    <row r="403" spans="4:4" x14ac:dyDescent="0.25">
      <c r="D403" s="13"/>
    </row>
    <row r="404" spans="4:4" x14ac:dyDescent="0.25">
      <c r="D404" s="13"/>
    </row>
  </sheetData>
  <phoneticPr fontId="5" type="noConversion"/>
  <pageMargins left="0.7" right="0.7" top="0.78740157499999996" bottom="0.78740157499999996"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0"/>
  <sheetViews>
    <sheetView zoomScaleNormal="100" workbookViewId="0">
      <pane xSplit="4" ySplit="1" topLeftCell="E2" activePane="bottomRight" state="frozen"/>
      <selection pane="topRight" activeCell="F1" sqref="F1"/>
      <selection pane="bottomLeft" activeCell="A2" sqref="A2"/>
      <selection pane="bottomRight" activeCell="F22" sqref="F22"/>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50</v>
      </c>
      <c r="D2" s="16" t="s">
        <v>658</v>
      </c>
      <c r="F2">
        <v>10.94</v>
      </c>
      <c r="G2" t="s">
        <v>44</v>
      </c>
      <c r="H2">
        <v>0</v>
      </c>
      <c r="I2">
        <v>14.55</v>
      </c>
      <c r="L2">
        <f>Constants!$B$2</f>
        <v>2.8</v>
      </c>
      <c r="M2" t="str">
        <f t="shared" ref="M2:M38" si="0">IF(N2&gt;0,G2,"N/A")</f>
        <v>N/A</v>
      </c>
      <c r="N2">
        <f>P2*Constants!$E$2</f>
        <v>0</v>
      </c>
      <c r="P2">
        <f>H2</f>
        <v>0</v>
      </c>
      <c r="Q2">
        <f>P2*Constants!$B$3</f>
        <v>0</v>
      </c>
      <c r="R2">
        <f>IF(Q2-N2&lt;=0, 0, Q2-N2)</f>
        <v>0</v>
      </c>
      <c r="S2">
        <f>I2-P2</f>
        <v>14.55</v>
      </c>
      <c r="T2">
        <f>S2*Constants!$B$2</f>
        <v>40.74</v>
      </c>
      <c r="V2">
        <f>IF(B2="E",1,0)</f>
        <v>0</v>
      </c>
      <c r="W2">
        <f>IF(B2=10,1,0)</f>
        <v>0</v>
      </c>
      <c r="AA2" s="8"/>
      <c r="AJ2" s="4"/>
    </row>
    <row r="3" spans="1:40" x14ac:dyDescent="0.25">
      <c r="A3">
        <v>2</v>
      </c>
      <c r="B3">
        <v>9</v>
      </c>
      <c r="C3" t="s">
        <v>45</v>
      </c>
      <c r="D3" s="16" t="s">
        <v>659</v>
      </c>
      <c r="F3">
        <v>20.13</v>
      </c>
      <c r="G3" t="s">
        <v>44</v>
      </c>
      <c r="H3">
        <v>0</v>
      </c>
      <c r="I3">
        <v>22.05</v>
      </c>
      <c r="L3">
        <f>Constants!$B$2</f>
        <v>2.8</v>
      </c>
      <c r="M3" t="str">
        <f t="shared" si="0"/>
        <v>N/A</v>
      </c>
      <c r="N3">
        <f>P3*Constants!$E$2</f>
        <v>0</v>
      </c>
      <c r="P3">
        <f t="shared" ref="P3:P38" si="1">H3</f>
        <v>0</v>
      </c>
      <c r="Q3">
        <f>P3*Constants!$B$3</f>
        <v>0</v>
      </c>
      <c r="R3">
        <f>IF(Q3-N3&lt;=0, 0, Q3-N3)</f>
        <v>0</v>
      </c>
      <c r="S3">
        <f t="shared" ref="S3:S38" si="2">I3-P3</f>
        <v>22.05</v>
      </c>
      <c r="T3">
        <f>S3*Constants!$B$2</f>
        <v>61.739999999999995</v>
      </c>
      <c r="V3">
        <f t="shared" ref="V3:V38" si="3">IF(B3="E",1,0)</f>
        <v>0</v>
      </c>
      <c r="W3">
        <f t="shared" ref="W3:W38" si="4">IF(B3=10,1,0)</f>
        <v>0</v>
      </c>
      <c r="AA3" s="8"/>
      <c r="AJ3" s="4"/>
    </row>
    <row r="4" spans="1:40" x14ac:dyDescent="0.25">
      <c r="A4">
        <v>3</v>
      </c>
      <c r="B4">
        <v>9</v>
      </c>
      <c r="C4" t="s">
        <v>49</v>
      </c>
      <c r="D4" s="16" t="s">
        <v>660</v>
      </c>
      <c r="F4">
        <v>20.61</v>
      </c>
      <c r="G4">
        <v>270</v>
      </c>
      <c r="H4">
        <v>3.6</v>
      </c>
      <c r="I4">
        <v>21.66</v>
      </c>
      <c r="L4">
        <f>Constants!$B$2</f>
        <v>2.8</v>
      </c>
      <c r="M4">
        <f t="shared" si="0"/>
        <v>270</v>
      </c>
      <c r="N4">
        <f>P4*Constants!$E$2</f>
        <v>6.12</v>
      </c>
      <c r="P4">
        <f t="shared" si="1"/>
        <v>3.6</v>
      </c>
      <c r="Q4">
        <f>P4*Constants!$B$3</f>
        <v>15.119999999999997</v>
      </c>
      <c r="R4">
        <f t="shared" ref="R4:R37" si="5">IF(Q4-N4&lt;=0, 0, Q4-N4)</f>
        <v>8.9999999999999964</v>
      </c>
      <c r="S4">
        <f t="shared" si="2"/>
        <v>18.059999999999999</v>
      </c>
      <c r="T4">
        <f>S4*Constants!$B$2</f>
        <v>50.567999999999991</v>
      </c>
      <c r="V4">
        <f t="shared" si="3"/>
        <v>0</v>
      </c>
      <c r="W4">
        <f t="shared" si="4"/>
        <v>0</v>
      </c>
      <c r="AA4" s="8"/>
      <c r="AJ4" s="4"/>
    </row>
    <row r="5" spans="1:40" x14ac:dyDescent="0.25">
      <c r="A5">
        <v>4</v>
      </c>
      <c r="B5">
        <v>9</v>
      </c>
      <c r="C5" t="s">
        <v>64</v>
      </c>
      <c r="D5" s="16" t="s">
        <v>682</v>
      </c>
      <c r="E5" s="16" t="s">
        <v>660</v>
      </c>
      <c r="F5">
        <v>3.71</v>
      </c>
      <c r="G5" t="s">
        <v>44</v>
      </c>
      <c r="H5">
        <v>0</v>
      </c>
      <c r="I5">
        <v>8.5500000000000007</v>
      </c>
      <c r="L5">
        <f>Constants!$B$2</f>
        <v>2.8</v>
      </c>
      <c r="M5" t="str">
        <f t="shared" ref="M5" si="6">IF(N5&gt;0,G5,"N/A")</f>
        <v>N/A</v>
      </c>
      <c r="N5">
        <f>P5*Constants!$E$2</f>
        <v>0</v>
      </c>
      <c r="P5">
        <f t="shared" ref="P5" si="7">H5</f>
        <v>0</v>
      </c>
      <c r="Q5">
        <f>P5*Constants!$B$3</f>
        <v>0</v>
      </c>
      <c r="R5">
        <f>IF(Q5-N5&lt;=0, 0, Q5-N5)</f>
        <v>0</v>
      </c>
      <c r="S5">
        <f t="shared" ref="S5" si="8">I5-P5</f>
        <v>8.5500000000000007</v>
      </c>
      <c r="T5">
        <f>S5*Constants!$B$2</f>
        <v>23.94</v>
      </c>
      <c r="V5">
        <f t="shared" ref="V5" si="9">IF(B5="E",1,0)</f>
        <v>0</v>
      </c>
      <c r="W5">
        <f t="shared" ref="W5" si="10">IF(B5=10,1,0)</f>
        <v>0</v>
      </c>
      <c r="AA5" s="8"/>
      <c r="AJ5" s="4"/>
    </row>
    <row r="6" spans="1:40" x14ac:dyDescent="0.25">
      <c r="A6">
        <v>5</v>
      </c>
      <c r="B6">
        <v>9</v>
      </c>
      <c r="C6" t="s">
        <v>49</v>
      </c>
      <c r="D6" s="16" t="s">
        <v>661</v>
      </c>
      <c r="F6">
        <v>20.98</v>
      </c>
      <c r="G6">
        <v>270</v>
      </c>
      <c r="H6">
        <v>3.6</v>
      </c>
      <c r="I6">
        <v>21.76</v>
      </c>
      <c r="L6">
        <f>Constants!$B$2</f>
        <v>2.8</v>
      </c>
      <c r="M6">
        <f t="shared" ref="M6:M7" si="11">IF(N6&gt;0,G6,"N/A")</f>
        <v>270</v>
      </c>
      <c r="N6">
        <f>P6*Constants!$E$2</f>
        <v>6.12</v>
      </c>
      <c r="P6">
        <f t="shared" ref="P6:P7" si="12">H6</f>
        <v>3.6</v>
      </c>
      <c r="Q6">
        <f>P6*Constants!$B$3</f>
        <v>15.119999999999997</v>
      </c>
      <c r="R6">
        <f t="shared" si="5"/>
        <v>8.9999999999999964</v>
      </c>
      <c r="S6">
        <f t="shared" ref="S6:S7" si="13">I6-P6</f>
        <v>18.16</v>
      </c>
      <c r="T6">
        <f>S6*Constants!$B$2</f>
        <v>50.847999999999999</v>
      </c>
      <c r="V6">
        <f t="shared" ref="V6:V7" si="14">IF(B6="E",1,0)</f>
        <v>0</v>
      </c>
      <c r="W6">
        <f t="shared" ref="W6:W7" si="15">IF(B6=10,1,0)</f>
        <v>0</v>
      </c>
      <c r="AA6" s="8"/>
      <c r="AJ6" s="4"/>
    </row>
    <row r="7" spans="1:40" x14ac:dyDescent="0.25">
      <c r="A7">
        <v>6</v>
      </c>
      <c r="B7">
        <v>9</v>
      </c>
      <c r="C7" t="s">
        <v>64</v>
      </c>
      <c r="D7" s="16" t="s">
        <v>683</v>
      </c>
      <c r="E7" s="16" t="s">
        <v>661</v>
      </c>
      <c r="F7">
        <v>3.71</v>
      </c>
      <c r="G7" t="s">
        <v>44</v>
      </c>
      <c r="H7">
        <v>0</v>
      </c>
      <c r="I7">
        <v>8.5500000000000007</v>
      </c>
      <c r="L7">
        <f>Constants!$B$2</f>
        <v>2.8</v>
      </c>
      <c r="M7" t="str">
        <f t="shared" si="11"/>
        <v>N/A</v>
      </c>
      <c r="N7">
        <f>P7*Constants!$E$2</f>
        <v>0</v>
      </c>
      <c r="P7">
        <f t="shared" si="12"/>
        <v>0</v>
      </c>
      <c r="Q7">
        <f>P7*Constants!$B$3</f>
        <v>0</v>
      </c>
      <c r="R7">
        <f>IF(Q7-N7&lt;=0, 0, Q7-N7)</f>
        <v>0</v>
      </c>
      <c r="S7">
        <f t="shared" si="13"/>
        <v>8.5500000000000007</v>
      </c>
      <c r="T7">
        <f>S7*Constants!$B$2</f>
        <v>23.94</v>
      </c>
      <c r="V7">
        <f t="shared" si="14"/>
        <v>0</v>
      </c>
      <c r="W7">
        <f t="shared" si="15"/>
        <v>0</v>
      </c>
      <c r="AA7" s="8"/>
      <c r="AJ7" s="4"/>
    </row>
    <row r="8" spans="1:40" x14ac:dyDescent="0.25">
      <c r="A8">
        <v>7</v>
      </c>
      <c r="B8">
        <v>9</v>
      </c>
      <c r="C8" t="s">
        <v>49</v>
      </c>
      <c r="D8" s="16" t="s">
        <v>662</v>
      </c>
      <c r="F8">
        <v>20.98</v>
      </c>
      <c r="G8">
        <v>270</v>
      </c>
      <c r="H8">
        <v>3.6</v>
      </c>
      <c r="I8">
        <v>21.76</v>
      </c>
      <c r="L8">
        <f>Constants!$B$2</f>
        <v>2.8</v>
      </c>
      <c r="M8">
        <f t="shared" ref="M8:M10" si="16">IF(N8&gt;0,G8,"N/A")</f>
        <v>270</v>
      </c>
      <c r="N8">
        <f>P8*Constants!$E$2</f>
        <v>6.12</v>
      </c>
      <c r="P8">
        <f t="shared" ref="P8:P10" si="17">H8</f>
        <v>3.6</v>
      </c>
      <c r="Q8">
        <f>P8*Constants!$B$3</f>
        <v>15.119999999999997</v>
      </c>
      <c r="R8">
        <f t="shared" ref="R8" si="18">IF(Q8-N8&lt;=0, 0, Q8-N8)</f>
        <v>8.9999999999999964</v>
      </c>
      <c r="S8">
        <f t="shared" ref="S8:S10" si="19">I8-P8</f>
        <v>18.16</v>
      </c>
      <c r="T8">
        <f>S8*Constants!$B$2</f>
        <v>50.847999999999999</v>
      </c>
      <c r="V8">
        <f t="shared" ref="V8:V10" si="20">IF(B8="E",1,0)</f>
        <v>0</v>
      </c>
      <c r="W8">
        <f t="shared" ref="W8:W10" si="21">IF(B8=10,1,0)</f>
        <v>0</v>
      </c>
      <c r="AA8" s="8"/>
      <c r="AJ8" s="4"/>
    </row>
    <row r="9" spans="1:40" x14ac:dyDescent="0.25">
      <c r="A9">
        <v>8</v>
      </c>
      <c r="B9">
        <v>9</v>
      </c>
      <c r="C9" t="s">
        <v>64</v>
      </c>
      <c r="D9" s="16" t="s">
        <v>684</v>
      </c>
      <c r="E9" s="16" t="s">
        <v>662</v>
      </c>
      <c r="F9">
        <v>3.71</v>
      </c>
      <c r="G9" t="s">
        <v>44</v>
      </c>
      <c r="H9">
        <v>0</v>
      </c>
      <c r="I9">
        <v>8.5500000000000007</v>
      </c>
      <c r="L9">
        <f>Constants!$B$2</f>
        <v>2.8</v>
      </c>
      <c r="M9" t="str">
        <f t="shared" si="16"/>
        <v>N/A</v>
      </c>
      <c r="N9">
        <f>P9*Constants!$E$2</f>
        <v>0</v>
      </c>
      <c r="P9">
        <f t="shared" si="17"/>
        <v>0</v>
      </c>
      <c r="Q9">
        <f>P9*Constants!$B$3</f>
        <v>0</v>
      </c>
      <c r="R9">
        <f>IF(Q9-N9&lt;=0, 0, Q9-N9)</f>
        <v>0</v>
      </c>
      <c r="S9">
        <f t="shared" si="19"/>
        <v>8.5500000000000007</v>
      </c>
      <c r="T9">
        <f>S9*Constants!$B$2</f>
        <v>23.94</v>
      </c>
      <c r="V9">
        <f t="shared" si="20"/>
        <v>0</v>
      </c>
      <c r="W9">
        <f t="shared" si="21"/>
        <v>0</v>
      </c>
      <c r="AA9" s="8"/>
      <c r="AJ9" s="4"/>
    </row>
    <row r="10" spans="1:40" x14ac:dyDescent="0.25">
      <c r="A10">
        <v>9</v>
      </c>
      <c r="B10">
        <v>9</v>
      </c>
      <c r="C10" t="s">
        <v>62</v>
      </c>
      <c r="D10" s="16" t="s">
        <v>663</v>
      </c>
      <c r="E10" s="16"/>
      <c r="F10">
        <v>20.95</v>
      </c>
      <c r="G10" t="s">
        <v>44</v>
      </c>
      <c r="H10">
        <v>0</v>
      </c>
      <c r="I10">
        <v>24.8</v>
      </c>
      <c r="L10">
        <f>Constants!$B$2</f>
        <v>2.8</v>
      </c>
      <c r="M10" t="str">
        <f t="shared" si="16"/>
        <v>N/A</v>
      </c>
      <c r="N10">
        <f>P10*Constants!$E$2</f>
        <v>0</v>
      </c>
      <c r="P10">
        <f t="shared" si="17"/>
        <v>0</v>
      </c>
      <c r="Q10">
        <f>P10*Constants!$B$3</f>
        <v>0</v>
      </c>
      <c r="R10">
        <f>IF(Q10-N10&lt;=0, 0, Q10-N10)</f>
        <v>0</v>
      </c>
      <c r="S10">
        <f t="shared" si="19"/>
        <v>24.8</v>
      </c>
      <c r="T10">
        <f>S10*Constants!$B$2</f>
        <v>69.44</v>
      </c>
      <c r="V10">
        <f t="shared" si="20"/>
        <v>0</v>
      </c>
      <c r="W10">
        <f t="shared" si="21"/>
        <v>0</v>
      </c>
      <c r="AA10" s="8"/>
      <c r="AJ10" s="4"/>
    </row>
    <row r="11" spans="1:40" x14ac:dyDescent="0.25">
      <c r="A11">
        <v>10</v>
      </c>
      <c r="B11">
        <v>9</v>
      </c>
      <c r="C11" t="s">
        <v>50</v>
      </c>
      <c r="D11" s="16" t="s">
        <v>664</v>
      </c>
      <c r="E11" s="16"/>
      <c r="F11">
        <v>12.39</v>
      </c>
      <c r="G11">
        <v>270</v>
      </c>
      <c r="H11">
        <v>3.6</v>
      </c>
      <c r="I11">
        <v>14.64</v>
      </c>
      <c r="L11">
        <f>Constants!$B$2</f>
        <v>2.8</v>
      </c>
      <c r="M11">
        <f t="shared" si="0"/>
        <v>270</v>
      </c>
      <c r="N11">
        <f>P11*Constants!$E$2</f>
        <v>6.12</v>
      </c>
      <c r="P11">
        <f t="shared" si="1"/>
        <v>3.6</v>
      </c>
      <c r="Q11">
        <f>P11*Constants!$B$3</f>
        <v>15.119999999999997</v>
      </c>
      <c r="R11">
        <f t="shared" si="5"/>
        <v>8.9999999999999964</v>
      </c>
      <c r="S11">
        <f t="shared" si="2"/>
        <v>11.040000000000001</v>
      </c>
      <c r="T11">
        <f>S11*Constants!$B$2</f>
        <v>30.911999999999999</v>
      </c>
      <c r="V11">
        <f t="shared" si="3"/>
        <v>0</v>
      </c>
      <c r="W11">
        <f t="shared" si="4"/>
        <v>0</v>
      </c>
      <c r="AA11" s="8"/>
      <c r="AJ11" s="4"/>
    </row>
    <row r="12" spans="1:40" x14ac:dyDescent="0.25">
      <c r="A12">
        <v>11</v>
      </c>
      <c r="B12">
        <v>9</v>
      </c>
      <c r="C12" t="s">
        <v>59</v>
      </c>
      <c r="D12" s="16" t="s">
        <v>665</v>
      </c>
      <c r="F12">
        <v>15.93</v>
      </c>
      <c r="G12">
        <v>270</v>
      </c>
      <c r="H12">
        <v>4.8</v>
      </c>
      <c r="I12">
        <v>17.850000000000001</v>
      </c>
      <c r="L12">
        <f>Constants!$B$2</f>
        <v>2.8</v>
      </c>
      <c r="M12">
        <f t="shared" si="0"/>
        <v>270</v>
      </c>
      <c r="N12">
        <f>P12*Constants!$E$2</f>
        <v>8.16</v>
      </c>
      <c r="P12">
        <f t="shared" si="1"/>
        <v>4.8</v>
      </c>
      <c r="Q12">
        <f>P12*Constants!$B$3</f>
        <v>20.159999999999997</v>
      </c>
      <c r="R12">
        <f t="shared" si="5"/>
        <v>11.999999999999996</v>
      </c>
      <c r="S12">
        <f t="shared" si="2"/>
        <v>13.05</v>
      </c>
      <c r="T12">
        <f>S12*Constants!$B$2</f>
        <v>36.54</v>
      </c>
      <c r="V12">
        <f t="shared" si="3"/>
        <v>0</v>
      </c>
      <c r="W12">
        <f t="shared" si="4"/>
        <v>0</v>
      </c>
      <c r="AA12" s="8"/>
      <c r="AJ12" s="4"/>
    </row>
    <row r="13" spans="1:40" x14ac:dyDescent="0.25">
      <c r="A13">
        <v>12</v>
      </c>
      <c r="B13">
        <v>9</v>
      </c>
      <c r="C13" t="s">
        <v>49</v>
      </c>
      <c r="D13" s="16" t="s">
        <v>666</v>
      </c>
      <c r="F13">
        <v>19.29</v>
      </c>
      <c r="G13">
        <v>270</v>
      </c>
      <c r="H13">
        <v>3.6</v>
      </c>
      <c r="I13">
        <v>19.66</v>
      </c>
      <c r="L13">
        <f>Constants!$B$2</f>
        <v>2.8</v>
      </c>
      <c r="M13">
        <f t="shared" si="0"/>
        <v>270</v>
      </c>
      <c r="N13">
        <f>P13*Constants!$E$2</f>
        <v>6.12</v>
      </c>
      <c r="P13">
        <f t="shared" si="1"/>
        <v>3.6</v>
      </c>
      <c r="Q13">
        <f>P13*Constants!$B$3</f>
        <v>15.119999999999997</v>
      </c>
      <c r="R13">
        <f t="shared" si="5"/>
        <v>8.9999999999999964</v>
      </c>
      <c r="S13">
        <f t="shared" si="2"/>
        <v>16.059999999999999</v>
      </c>
      <c r="T13">
        <f>S13*Constants!$B$2</f>
        <v>44.967999999999996</v>
      </c>
      <c r="V13">
        <f t="shared" si="3"/>
        <v>0</v>
      </c>
      <c r="W13">
        <f t="shared" si="4"/>
        <v>0</v>
      </c>
      <c r="AA13" s="8"/>
      <c r="AJ13" s="4"/>
    </row>
    <row r="14" spans="1:40" x14ac:dyDescent="0.25">
      <c r="A14">
        <v>13</v>
      </c>
      <c r="B14">
        <v>9</v>
      </c>
      <c r="C14" t="s">
        <v>64</v>
      </c>
      <c r="D14" s="16" t="s">
        <v>685</v>
      </c>
      <c r="E14" s="16" t="s">
        <v>666</v>
      </c>
      <c r="F14">
        <v>3.71</v>
      </c>
      <c r="G14" t="s">
        <v>44</v>
      </c>
      <c r="H14">
        <v>0</v>
      </c>
      <c r="I14">
        <v>8.5500000000000007</v>
      </c>
      <c r="L14">
        <f>Constants!$B$2</f>
        <v>2.8</v>
      </c>
      <c r="M14" t="str">
        <f t="shared" si="0"/>
        <v>N/A</v>
      </c>
      <c r="N14">
        <f>P14*Constants!$E$2</f>
        <v>0</v>
      </c>
      <c r="P14">
        <f t="shared" si="1"/>
        <v>0</v>
      </c>
      <c r="Q14">
        <f>P14*Constants!$B$3</f>
        <v>0</v>
      </c>
      <c r="R14">
        <f>IF(Q14-N14&lt;=0, 0, Q14-N14)</f>
        <v>0</v>
      </c>
      <c r="S14">
        <f t="shared" si="2"/>
        <v>8.5500000000000007</v>
      </c>
      <c r="T14">
        <f>S14*Constants!$B$2</f>
        <v>23.94</v>
      </c>
      <c r="V14">
        <f t="shared" si="3"/>
        <v>0</v>
      </c>
      <c r="W14">
        <f t="shared" si="4"/>
        <v>0</v>
      </c>
      <c r="AA14" s="8"/>
      <c r="AJ14" s="4"/>
    </row>
    <row r="15" spans="1:40" x14ac:dyDescent="0.25">
      <c r="A15">
        <v>14</v>
      </c>
      <c r="B15">
        <v>9</v>
      </c>
      <c r="C15" t="s">
        <v>49</v>
      </c>
      <c r="D15" s="16" t="s">
        <v>667</v>
      </c>
      <c r="F15">
        <v>20.98</v>
      </c>
      <c r="G15">
        <v>270</v>
      </c>
      <c r="H15">
        <v>3.6</v>
      </c>
      <c r="I15">
        <v>21.76</v>
      </c>
      <c r="L15">
        <f>Constants!$B$2</f>
        <v>2.8</v>
      </c>
      <c r="M15">
        <f t="shared" si="0"/>
        <v>270</v>
      </c>
      <c r="N15">
        <f>P15*Constants!$E$2</f>
        <v>6.12</v>
      </c>
      <c r="P15">
        <f t="shared" si="1"/>
        <v>3.6</v>
      </c>
      <c r="Q15">
        <f>P15*Constants!$B$3</f>
        <v>15.119999999999997</v>
      </c>
      <c r="R15">
        <f t="shared" ref="R15" si="22">IF(Q15-N15&lt;=0, 0, Q15-N15)</f>
        <v>8.9999999999999964</v>
      </c>
      <c r="S15">
        <f t="shared" si="2"/>
        <v>18.16</v>
      </c>
      <c r="T15">
        <f>S15*Constants!$B$2</f>
        <v>50.847999999999999</v>
      </c>
      <c r="V15">
        <f t="shared" si="3"/>
        <v>0</v>
      </c>
      <c r="W15">
        <f t="shared" si="4"/>
        <v>0</v>
      </c>
      <c r="AA15" s="8"/>
      <c r="AJ15" s="4"/>
    </row>
    <row r="16" spans="1:40" x14ac:dyDescent="0.25">
      <c r="A16">
        <v>15</v>
      </c>
      <c r="B16">
        <v>9</v>
      </c>
      <c r="C16" t="s">
        <v>64</v>
      </c>
      <c r="D16" s="16" t="s">
        <v>686</v>
      </c>
      <c r="E16" s="16" t="s">
        <v>667</v>
      </c>
      <c r="F16">
        <v>3.71</v>
      </c>
      <c r="G16" t="s">
        <v>44</v>
      </c>
      <c r="H16">
        <v>0</v>
      </c>
      <c r="I16">
        <v>8.5500000000000007</v>
      </c>
      <c r="L16">
        <f>Constants!$B$2</f>
        <v>2.8</v>
      </c>
      <c r="M16" t="str">
        <f t="shared" si="0"/>
        <v>N/A</v>
      </c>
      <c r="N16">
        <f>P16*Constants!$E$2</f>
        <v>0</v>
      </c>
      <c r="P16">
        <f t="shared" si="1"/>
        <v>0</v>
      </c>
      <c r="Q16">
        <f>P16*Constants!$B$3</f>
        <v>0</v>
      </c>
      <c r="R16">
        <f>IF(Q16-N16&lt;=0, 0, Q16-N16)</f>
        <v>0</v>
      </c>
      <c r="S16">
        <f t="shared" si="2"/>
        <v>8.5500000000000007</v>
      </c>
      <c r="T16">
        <f>S16*Constants!$B$2</f>
        <v>23.94</v>
      </c>
      <c r="V16">
        <f t="shared" si="3"/>
        <v>0</v>
      </c>
      <c r="W16">
        <f t="shared" si="4"/>
        <v>0</v>
      </c>
      <c r="AA16" s="8"/>
      <c r="AJ16" s="4"/>
    </row>
    <row r="17" spans="1:36" x14ac:dyDescent="0.25">
      <c r="A17">
        <v>16</v>
      </c>
      <c r="B17">
        <v>9</v>
      </c>
      <c r="C17" t="s">
        <v>49</v>
      </c>
      <c r="D17" s="16" t="s">
        <v>668</v>
      </c>
      <c r="F17">
        <v>20.98</v>
      </c>
      <c r="G17">
        <v>270</v>
      </c>
      <c r="H17">
        <v>3.6</v>
      </c>
      <c r="I17">
        <v>21.76</v>
      </c>
      <c r="L17">
        <f>Constants!$B$2</f>
        <v>2.8</v>
      </c>
      <c r="M17">
        <f t="shared" ref="M17:M18" si="23">IF(N17&gt;0,G17,"N/A")</f>
        <v>270</v>
      </c>
      <c r="N17">
        <f>P17*Constants!$E$2</f>
        <v>6.12</v>
      </c>
      <c r="P17">
        <f t="shared" ref="P17:P18" si="24">H17</f>
        <v>3.6</v>
      </c>
      <c r="Q17">
        <f>P17*Constants!$B$3</f>
        <v>15.119999999999997</v>
      </c>
      <c r="R17">
        <f t="shared" ref="R17" si="25">IF(Q17-N17&lt;=0, 0, Q17-N17)</f>
        <v>8.9999999999999964</v>
      </c>
      <c r="S17">
        <f t="shared" ref="S17:S18" si="26">I17-P17</f>
        <v>18.16</v>
      </c>
      <c r="T17">
        <f>S17*Constants!$B$2</f>
        <v>50.847999999999999</v>
      </c>
      <c r="V17">
        <f t="shared" ref="V17:V18" si="27">IF(B17="E",1,0)</f>
        <v>0</v>
      </c>
      <c r="W17">
        <f t="shared" ref="W17:W18" si="28">IF(B17=10,1,0)</f>
        <v>0</v>
      </c>
      <c r="AA17" s="8"/>
      <c r="AJ17" s="4"/>
    </row>
    <row r="18" spans="1:36" x14ac:dyDescent="0.25">
      <c r="A18">
        <v>17</v>
      </c>
      <c r="B18">
        <v>9</v>
      </c>
      <c r="C18" t="s">
        <v>64</v>
      </c>
      <c r="D18" s="16" t="s">
        <v>687</v>
      </c>
      <c r="E18" s="16" t="s">
        <v>668</v>
      </c>
      <c r="F18">
        <v>3.71</v>
      </c>
      <c r="G18" t="s">
        <v>44</v>
      </c>
      <c r="H18">
        <v>0</v>
      </c>
      <c r="I18">
        <v>8.5500000000000007</v>
      </c>
      <c r="L18">
        <f>Constants!$B$2</f>
        <v>2.8</v>
      </c>
      <c r="M18" t="str">
        <f t="shared" si="23"/>
        <v>N/A</v>
      </c>
      <c r="N18">
        <f>P18*Constants!$E$2</f>
        <v>0</v>
      </c>
      <c r="P18">
        <f t="shared" si="24"/>
        <v>0</v>
      </c>
      <c r="Q18">
        <f>P18*Constants!$B$3</f>
        <v>0</v>
      </c>
      <c r="R18">
        <f>IF(Q18-N18&lt;=0, 0, Q18-N18)</f>
        <v>0</v>
      </c>
      <c r="S18">
        <f t="shared" si="26"/>
        <v>8.5500000000000007</v>
      </c>
      <c r="T18">
        <f>S18*Constants!$B$2</f>
        <v>23.94</v>
      </c>
      <c r="V18">
        <f t="shared" si="27"/>
        <v>0</v>
      </c>
      <c r="W18">
        <f t="shared" si="28"/>
        <v>0</v>
      </c>
      <c r="AA18" s="8"/>
      <c r="AJ18" s="4"/>
    </row>
    <row r="19" spans="1:36" x14ac:dyDescent="0.25">
      <c r="A19">
        <v>18</v>
      </c>
      <c r="B19">
        <v>9</v>
      </c>
      <c r="C19" t="s">
        <v>49</v>
      </c>
      <c r="D19" s="16" t="s">
        <v>669</v>
      </c>
      <c r="F19">
        <v>20.98</v>
      </c>
      <c r="G19">
        <v>270</v>
      </c>
      <c r="H19">
        <v>6.9</v>
      </c>
      <c r="I19">
        <v>21.76</v>
      </c>
      <c r="L19">
        <f>Constants!$B$2</f>
        <v>2.8</v>
      </c>
      <c r="M19">
        <f t="shared" ref="M19:M20" si="29">IF(N19&gt;0,G19,"N/A")</f>
        <v>270</v>
      </c>
      <c r="N19">
        <f>P19*Constants!$E$2</f>
        <v>11.73</v>
      </c>
      <c r="P19">
        <f t="shared" ref="P19:P20" si="30">H19</f>
        <v>6.9</v>
      </c>
      <c r="Q19">
        <f>P19*Constants!$B$3</f>
        <v>28.979999999999997</v>
      </c>
      <c r="R19">
        <f t="shared" ref="R19" si="31">IF(Q19-N19&lt;=0, 0, Q19-N19)</f>
        <v>17.249999999999996</v>
      </c>
      <c r="S19">
        <f t="shared" ref="S19:S20" si="32">I19-P19</f>
        <v>14.860000000000001</v>
      </c>
      <c r="T19">
        <f>S19*Constants!$B$2</f>
        <v>41.608000000000004</v>
      </c>
      <c r="V19">
        <f t="shared" ref="V19:V20" si="33">IF(B19="E",1,0)</f>
        <v>0</v>
      </c>
      <c r="W19">
        <f t="shared" ref="W19:W20" si="34">IF(B19=10,1,0)</f>
        <v>0</v>
      </c>
      <c r="AA19" s="8"/>
      <c r="AJ19" s="4"/>
    </row>
    <row r="20" spans="1:36" x14ac:dyDescent="0.25">
      <c r="A20">
        <v>19</v>
      </c>
      <c r="B20">
        <v>9</v>
      </c>
      <c r="C20" t="s">
        <v>64</v>
      </c>
      <c r="D20" s="16" t="s">
        <v>688</v>
      </c>
      <c r="E20" s="16" t="s">
        <v>669</v>
      </c>
      <c r="F20">
        <v>3.71</v>
      </c>
      <c r="G20" t="s">
        <v>44</v>
      </c>
      <c r="H20">
        <v>0</v>
      </c>
      <c r="I20">
        <v>8.5500000000000007</v>
      </c>
      <c r="L20">
        <f>Constants!$B$2</f>
        <v>2.8</v>
      </c>
      <c r="M20" t="str">
        <f t="shared" si="29"/>
        <v>N/A</v>
      </c>
      <c r="N20">
        <f>P20*Constants!$E$2</f>
        <v>0</v>
      </c>
      <c r="P20">
        <f t="shared" si="30"/>
        <v>0</v>
      </c>
      <c r="Q20">
        <f>P20*Constants!$B$3</f>
        <v>0</v>
      </c>
      <c r="R20">
        <f>IF(Q20-N20&lt;=0, 0, Q20-N20)</f>
        <v>0</v>
      </c>
      <c r="S20">
        <f t="shared" si="32"/>
        <v>8.5500000000000007</v>
      </c>
      <c r="T20">
        <f>S20*Constants!$B$2</f>
        <v>23.94</v>
      </c>
      <c r="V20">
        <f t="shared" si="33"/>
        <v>0</v>
      </c>
      <c r="W20">
        <f t="shared" si="34"/>
        <v>0</v>
      </c>
      <c r="AA20" s="8"/>
      <c r="AJ20" s="4"/>
    </row>
    <row r="21" spans="1:36" x14ac:dyDescent="0.25">
      <c r="A21">
        <v>20</v>
      </c>
      <c r="B21">
        <v>9</v>
      </c>
      <c r="C21" t="s">
        <v>62</v>
      </c>
      <c r="D21" s="16" t="s">
        <v>670</v>
      </c>
      <c r="F21">
        <v>20.77</v>
      </c>
      <c r="G21">
        <v>0</v>
      </c>
      <c r="H21">
        <v>4</v>
      </c>
      <c r="I21">
        <f>2*(4+5.3)</f>
        <v>18.600000000000001</v>
      </c>
      <c r="L21">
        <f>Constants!$B$2</f>
        <v>2.8</v>
      </c>
      <c r="M21">
        <f t="shared" si="0"/>
        <v>0</v>
      </c>
      <c r="N21">
        <f>P21*Constants!$E$2</f>
        <v>6.8</v>
      </c>
      <c r="P21">
        <f t="shared" si="1"/>
        <v>4</v>
      </c>
      <c r="Q21">
        <f>P21*Constants!$B$3</f>
        <v>16.799999999999997</v>
      </c>
      <c r="R21">
        <f t="shared" si="5"/>
        <v>9.9999999999999964</v>
      </c>
      <c r="S21">
        <f t="shared" si="2"/>
        <v>14.600000000000001</v>
      </c>
      <c r="T21">
        <f>S21*Constants!$B$2</f>
        <v>40.880000000000003</v>
      </c>
      <c r="V21">
        <f t="shared" si="3"/>
        <v>0</v>
      </c>
      <c r="W21">
        <f t="shared" si="4"/>
        <v>0</v>
      </c>
      <c r="AA21" s="8"/>
      <c r="AJ21" s="4"/>
    </row>
    <row r="22" spans="1:36" x14ac:dyDescent="0.25">
      <c r="A22">
        <v>21</v>
      </c>
      <c r="B22">
        <v>9</v>
      </c>
      <c r="C22" t="s">
        <v>64</v>
      </c>
      <c r="D22" s="16" t="s">
        <v>671</v>
      </c>
      <c r="F22">
        <v>3.63</v>
      </c>
      <c r="G22">
        <v>90</v>
      </c>
      <c r="H22">
        <v>1.4</v>
      </c>
      <c r="I22">
        <f>2*(3.5+1.4)</f>
        <v>9.8000000000000007</v>
      </c>
      <c r="L22">
        <f>Constants!$B$2</f>
        <v>2.8</v>
      </c>
      <c r="M22">
        <f t="shared" si="0"/>
        <v>90</v>
      </c>
      <c r="N22">
        <f>P22*Constants!$E$2</f>
        <v>2.38</v>
      </c>
      <c r="P22">
        <f t="shared" si="1"/>
        <v>1.4</v>
      </c>
      <c r="Q22">
        <f>P22*Constants!$B$3</f>
        <v>5.879999999999999</v>
      </c>
      <c r="R22">
        <f t="shared" si="5"/>
        <v>3.4999999999999991</v>
      </c>
      <c r="S22">
        <f t="shared" si="2"/>
        <v>8.4</v>
      </c>
      <c r="T22">
        <f>S22*Constants!$B$2</f>
        <v>23.52</v>
      </c>
      <c r="V22">
        <f t="shared" si="3"/>
        <v>0</v>
      </c>
      <c r="W22">
        <f t="shared" si="4"/>
        <v>0</v>
      </c>
      <c r="AA22" s="8"/>
      <c r="AJ22" s="4"/>
    </row>
    <row r="23" spans="1:36" x14ac:dyDescent="0.25">
      <c r="A23">
        <v>22</v>
      </c>
      <c r="B23">
        <v>9</v>
      </c>
      <c r="C23" t="s">
        <v>64</v>
      </c>
      <c r="D23" s="16" t="s">
        <v>672</v>
      </c>
      <c r="F23">
        <v>3.92</v>
      </c>
      <c r="G23">
        <v>90</v>
      </c>
      <c r="H23">
        <v>1.4</v>
      </c>
      <c r="I23">
        <f>2*(3.5+1.4)</f>
        <v>9.8000000000000007</v>
      </c>
      <c r="L23">
        <f>Constants!$B$2</f>
        <v>2.8</v>
      </c>
      <c r="M23">
        <f t="shared" si="0"/>
        <v>90</v>
      </c>
      <c r="N23">
        <f>P23*Constants!$E$2</f>
        <v>2.38</v>
      </c>
      <c r="P23">
        <f t="shared" si="1"/>
        <v>1.4</v>
      </c>
      <c r="Q23">
        <f>P23*Constants!$B$3</f>
        <v>5.879999999999999</v>
      </c>
      <c r="R23">
        <f t="shared" si="5"/>
        <v>3.4999999999999991</v>
      </c>
      <c r="S23">
        <f t="shared" si="2"/>
        <v>8.4</v>
      </c>
      <c r="T23">
        <f>S23*Constants!$B$2</f>
        <v>23.52</v>
      </c>
      <c r="V23">
        <f t="shared" si="3"/>
        <v>0</v>
      </c>
      <c r="W23">
        <f t="shared" si="4"/>
        <v>0</v>
      </c>
      <c r="AA23" s="8"/>
      <c r="AJ23" s="4"/>
    </row>
    <row r="24" spans="1:36" x14ac:dyDescent="0.25">
      <c r="A24">
        <v>23</v>
      </c>
      <c r="B24">
        <v>9</v>
      </c>
      <c r="C24" t="s">
        <v>62</v>
      </c>
      <c r="D24" s="16" t="s">
        <v>673</v>
      </c>
      <c r="F24">
        <v>109.92</v>
      </c>
      <c r="G24" t="s">
        <v>44</v>
      </c>
      <c r="H24">
        <v>0</v>
      </c>
      <c r="I24">
        <v>99.11</v>
      </c>
      <c r="L24">
        <f>Constants!$B$2</f>
        <v>2.8</v>
      </c>
      <c r="M24" t="str">
        <f t="shared" si="0"/>
        <v>N/A</v>
      </c>
      <c r="N24">
        <f>P24*Constants!$E$2</f>
        <v>0</v>
      </c>
      <c r="P24">
        <f t="shared" si="1"/>
        <v>0</v>
      </c>
      <c r="Q24">
        <f>P24*Constants!$B$3</f>
        <v>0</v>
      </c>
      <c r="R24">
        <f t="shared" si="5"/>
        <v>0</v>
      </c>
      <c r="S24">
        <f t="shared" si="2"/>
        <v>99.11</v>
      </c>
      <c r="T24">
        <f>S24*Constants!$B$2</f>
        <v>277.50799999999998</v>
      </c>
      <c r="V24">
        <f t="shared" si="3"/>
        <v>0</v>
      </c>
      <c r="W24">
        <f t="shared" si="4"/>
        <v>0</v>
      </c>
      <c r="AA24" s="8"/>
      <c r="AJ24" s="4"/>
    </row>
    <row r="25" spans="1:36" x14ac:dyDescent="0.25">
      <c r="A25">
        <v>24</v>
      </c>
      <c r="B25">
        <v>9</v>
      </c>
      <c r="C25" t="s">
        <v>49</v>
      </c>
      <c r="D25" s="16" t="s">
        <v>674</v>
      </c>
      <c r="F25">
        <v>20.399999999999999</v>
      </c>
      <c r="G25">
        <v>90</v>
      </c>
      <c r="H25">
        <v>6.9</v>
      </c>
      <c r="I25">
        <v>20.84</v>
      </c>
      <c r="L25">
        <f>Constants!$B$2</f>
        <v>2.8</v>
      </c>
      <c r="M25">
        <f t="shared" si="0"/>
        <v>90</v>
      </c>
      <c r="N25">
        <f>P25*Constants!$E$2</f>
        <v>11.73</v>
      </c>
      <c r="P25">
        <f t="shared" si="1"/>
        <v>6.9</v>
      </c>
      <c r="Q25">
        <f>P25*Constants!$B$3</f>
        <v>28.979999999999997</v>
      </c>
      <c r="R25">
        <f t="shared" si="5"/>
        <v>17.249999999999996</v>
      </c>
      <c r="S25">
        <f t="shared" si="2"/>
        <v>13.94</v>
      </c>
      <c r="T25">
        <f>S25*Constants!$B$2</f>
        <v>39.031999999999996</v>
      </c>
      <c r="V25">
        <f t="shared" si="3"/>
        <v>0</v>
      </c>
      <c r="W25">
        <f t="shared" si="4"/>
        <v>0</v>
      </c>
      <c r="AA25" s="8"/>
      <c r="AJ25" s="4"/>
    </row>
    <row r="26" spans="1:36" x14ac:dyDescent="0.25">
      <c r="A26">
        <v>25</v>
      </c>
      <c r="B26">
        <v>9</v>
      </c>
      <c r="C26" t="s">
        <v>64</v>
      </c>
      <c r="D26" s="16" t="s">
        <v>689</v>
      </c>
      <c r="E26" s="16" t="s">
        <v>674</v>
      </c>
      <c r="F26">
        <v>3.71</v>
      </c>
      <c r="G26" t="s">
        <v>44</v>
      </c>
      <c r="H26">
        <v>0</v>
      </c>
      <c r="I26">
        <v>8.5500000000000007</v>
      </c>
      <c r="L26">
        <f>Constants!$B$2</f>
        <v>2.8</v>
      </c>
      <c r="M26" t="str">
        <f t="shared" si="0"/>
        <v>N/A</v>
      </c>
      <c r="N26">
        <f>P26*Constants!$E$2</f>
        <v>0</v>
      </c>
      <c r="P26">
        <f t="shared" si="1"/>
        <v>0</v>
      </c>
      <c r="Q26">
        <f>P26*Constants!$B$3</f>
        <v>0</v>
      </c>
      <c r="R26">
        <f>IF(Q26-N26&lt;=0, 0, Q26-N26)</f>
        <v>0</v>
      </c>
      <c r="S26">
        <f t="shared" si="2"/>
        <v>8.5500000000000007</v>
      </c>
      <c r="T26">
        <f>S26*Constants!$B$2</f>
        <v>23.94</v>
      </c>
      <c r="V26">
        <f t="shared" si="3"/>
        <v>0</v>
      </c>
      <c r="W26">
        <f t="shared" si="4"/>
        <v>0</v>
      </c>
      <c r="AA26" s="8"/>
      <c r="AJ26" s="4"/>
    </row>
    <row r="27" spans="1:36" x14ac:dyDescent="0.25">
      <c r="A27">
        <v>26</v>
      </c>
      <c r="B27">
        <v>9</v>
      </c>
      <c r="C27" t="s">
        <v>49</v>
      </c>
      <c r="D27" s="16" t="s">
        <v>675</v>
      </c>
      <c r="F27">
        <v>20.98</v>
      </c>
      <c r="G27">
        <v>90</v>
      </c>
      <c r="H27">
        <v>3.6</v>
      </c>
      <c r="I27">
        <v>21.76</v>
      </c>
      <c r="L27">
        <f>Constants!$B$2</f>
        <v>2.8</v>
      </c>
      <c r="M27">
        <f t="shared" ref="M27:M28" si="35">IF(N27&gt;0,G27,"N/A")</f>
        <v>90</v>
      </c>
      <c r="N27">
        <f>P27*Constants!$E$2</f>
        <v>6.12</v>
      </c>
      <c r="P27">
        <f t="shared" ref="P27:P28" si="36">H27</f>
        <v>3.6</v>
      </c>
      <c r="Q27">
        <f>P27*Constants!$B$3</f>
        <v>15.119999999999997</v>
      </c>
      <c r="R27">
        <f t="shared" ref="R27" si="37">IF(Q27-N27&lt;=0, 0, Q27-N27)</f>
        <v>8.9999999999999964</v>
      </c>
      <c r="S27">
        <f t="shared" ref="S27:S28" si="38">I27-P27</f>
        <v>18.16</v>
      </c>
      <c r="T27">
        <f>S27*Constants!$B$2</f>
        <v>50.847999999999999</v>
      </c>
      <c r="V27">
        <f t="shared" ref="V27:V28" si="39">IF(B27="E",1,0)</f>
        <v>0</v>
      </c>
      <c r="W27">
        <f t="shared" ref="W27:W28" si="40">IF(B27=10,1,0)</f>
        <v>0</v>
      </c>
      <c r="AA27" s="8"/>
      <c r="AJ27" s="4"/>
    </row>
    <row r="28" spans="1:36" x14ac:dyDescent="0.25">
      <c r="A28">
        <v>27</v>
      </c>
      <c r="B28">
        <v>9</v>
      </c>
      <c r="C28" t="s">
        <v>64</v>
      </c>
      <c r="D28" s="16" t="s">
        <v>690</v>
      </c>
      <c r="E28" s="16" t="s">
        <v>675</v>
      </c>
      <c r="F28">
        <v>3.71</v>
      </c>
      <c r="G28" t="s">
        <v>44</v>
      </c>
      <c r="H28">
        <v>0</v>
      </c>
      <c r="I28">
        <v>8.5500000000000007</v>
      </c>
      <c r="L28">
        <f>Constants!$B$2</f>
        <v>2.8</v>
      </c>
      <c r="M28" t="str">
        <f t="shared" si="35"/>
        <v>N/A</v>
      </c>
      <c r="N28">
        <f>P28*Constants!$E$2</f>
        <v>0</v>
      </c>
      <c r="P28">
        <f t="shared" si="36"/>
        <v>0</v>
      </c>
      <c r="Q28">
        <f>P28*Constants!$B$3</f>
        <v>0</v>
      </c>
      <c r="R28">
        <f>IF(Q28-N28&lt;=0, 0, Q28-N28)</f>
        <v>0</v>
      </c>
      <c r="S28">
        <f t="shared" si="38"/>
        <v>8.5500000000000007</v>
      </c>
      <c r="T28">
        <f>S28*Constants!$B$2</f>
        <v>23.94</v>
      </c>
      <c r="V28">
        <f t="shared" si="39"/>
        <v>0</v>
      </c>
      <c r="W28">
        <f t="shared" si="40"/>
        <v>0</v>
      </c>
      <c r="AA28" s="8"/>
      <c r="AJ28" s="4"/>
    </row>
    <row r="29" spans="1:36" x14ac:dyDescent="0.25">
      <c r="A29">
        <v>28</v>
      </c>
      <c r="B29">
        <v>9</v>
      </c>
      <c r="C29" t="s">
        <v>49</v>
      </c>
      <c r="D29" s="16" t="s">
        <v>676</v>
      </c>
      <c r="F29">
        <v>20.98</v>
      </c>
      <c r="G29">
        <v>90</v>
      </c>
      <c r="H29">
        <v>3.6</v>
      </c>
      <c r="I29">
        <v>21.76</v>
      </c>
      <c r="L29">
        <f>Constants!$B$2</f>
        <v>2.8</v>
      </c>
      <c r="M29">
        <f t="shared" ref="M29:M30" si="41">IF(N29&gt;0,G29,"N/A")</f>
        <v>90</v>
      </c>
      <c r="N29">
        <f>P29*Constants!$E$2</f>
        <v>6.12</v>
      </c>
      <c r="P29">
        <f t="shared" ref="P29:P30" si="42">H29</f>
        <v>3.6</v>
      </c>
      <c r="Q29">
        <f>P29*Constants!$B$3</f>
        <v>15.119999999999997</v>
      </c>
      <c r="R29">
        <f t="shared" ref="R29" si="43">IF(Q29-N29&lt;=0, 0, Q29-N29)</f>
        <v>8.9999999999999964</v>
      </c>
      <c r="S29">
        <f t="shared" ref="S29:S30" si="44">I29-P29</f>
        <v>18.16</v>
      </c>
      <c r="T29">
        <f>S29*Constants!$B$2</f>
        <v>50.847999999999999</v>
      </c>
      <c r="V29">
        <f t="shared" ref="V29:V30" si="45">IF(B29="E",1,0)</f>
        <v>0</v>
      </c>
      <c r="W29">
        <f t="shared" ref="W29:W30" si="46">IF(B29=10,1,0)</f>
        <v>0</v>
      </c>
      <c r="AA29" s="8"/>
      <c r="AJ29" s="4"/>
    </row>
    <row r="30" spans="1:36" x14ac:dyDescent="0.25">
      <c r="A30">
        <v>29</v>
      </c>
      <c r="B30">
        <v>9</v>
      </c>
      <c r="C30" t="s">
        <v>64</v>
      </c>
      <c r="D30" s="16" t="s">
        <v>691</v>
      </c>
      <c r="E30" s="16" t="s">
        <v>676</v>
      </c>
      <c r="F30">
        <v>3.71</v>
      </c>
      <c r="G30" t="s">
        <v>44</v>
      </c>
      <c r="H30">
        <v>0</v>
      </c>
      <c r="I30">
        <v>8.5500000000000007</v>
      </c>
      <c r="L30">
        <f>Constants!$B$2</f>
        <v>2.8</v>
      </c>
      <c r="M30" t="str">
        <f t="shared" si="41"/>
        <v>N/A</v>
      </c>
      <c r="N30">
        <f>P30*Constants!$E$2</f>
        <v>0</v>
      </c>
      <c r="P30">
        <f t="shared" si="42"/>
        <v>0</v>
      </c>
      <c r="Q30">
        <f>P30*Constants!$B$3</f>
        <v>0</v>
      </c>
      <c r="R30">
        <f>IF(Q30-N30&lt;=0, 0, Q30-N30)</f>
        <v>0</v>
      </c>
      <c r="S30">
        <f t="shared" si="44"/>
        <v>8.5500000000000007</v>
      </c>
      <c r="T30">
        <f>S30*Constants!$B$2</f>
        <v>23.94</v>
      </c>
      <c r="V30">
        <f t="shared" si="45"/>
        <v>0</v>
      </c>
      <c r="W30">
        <f t="shared" si="46"/>
        <v>0</v>
      </c>
      <c r="AA30" s="8"/>
      <c r="AJ30" s="4"/>
    </row>
    <row r="31" spans="1:36" x14ac:dyDescent="0.25">
      <c r="A31">
        <v>30</v>
      </c>
      <c r="B31">
        <v>9</v>
      </c>
      <c r="C31" t="s">
        <v>49</v>
      </c>
      <c r="D31" s="16" t="s">
        <v>677</v>
      </c>
      <c r="F31">
        <v>19.29</v>
      </c>
      <c r="G31">
        <v>90</v>
      </c>
      <c r="H31">
        <v>3.6</v>
      </c>
      <c r="I31">
        <v>19.66</v>
      </c>
      <c r="L31">
        <f>Constants!$B$2</f>
        <v>2.8</v>
      </c>
      <c r="M31">
        <f t="shared" ref="M31:M32" si="47">IF(N31&gt;0,G31,"N/A")</f>
        <v>90</v>
      </c>
      <c r="N31">
        <f>P31*Constants!$E$2</f>
        <v>6.12</v>
      </c>
      <c r="P31">
        <f t="shared" ref="P31:P32" si="48">H31</f>
        <v>3.6</v>
      </c>
      <c r="Q31">
        <f>P31*Constants!$B$3</f>
        <v>15.119999999999997</v>
      </c>
      <c r="R31">
        <f t="shared" ref="R31" si="49">IF(Q31-N31&lt;=0, 0, Q31-N31)</f>
        <v>8.9999999999999964</v>
      </c>
      <c r="S31">
        <f t="shared" ref="S31:S32" si="50">I31-P31</f>
        <v>16.059999999999999</v>
      </c>
      <c r="T31">
        <f>S31*Constants!$B$2</f>
        <v>44.967999999999996</v>
      </c>
      <c r="V31">
        <f t="shared" ref="V31:V32" si="51">IF(B31="E",1,0)</f>
        <v>0</v>
      </c>
      <c r="W31">
        <f t="shared" ref="W31:W32" si="52">IF(B31=10,1,0)</f>
        <v>0</v>
      </c>
      <c r="AA31" s="8"/>
      <c r="AJ31" s="4"/>
    </row>
    <row r="32" spans="1:36" x14ac:dyDescent="0.25">
      <c r="A32">
        <v>31</v>
      </c>
      <c r="B32">
        <v>9</v>
      </c>
      <c r="C32" t="s">
        <v>64</v>
      </c>
      <c r="D32" s="16" t="s">
        <v>692</v>
      </c>
      <c r="E32" s="16" t="s">
        <v>677</v>
      </c>
      <c r="F32">
        <v>3.71</v>
      </c>
      <c r="G32" t="s">
        <v>44</v>
      </c>
      <c r="H32">
        <v>0</v>
      </c>
      <c r="I32">
        <v>8.5500000000000007</v>
      </c>
      <c r="L32">
        <f>Constants!$B$2</f>
        <v>2.8</v>
      </c>
      <c r="M32" t="str">
        <f t="shared" si="47"/>
        <v>N/A</v>
      </c>
      <c r="N32">
        <f>P32*Constants!$E$2</f>
        <v>0</v>
      </c>
      <c r="P32">
        <f t="shared" si="48"/>
        <v>0</v>
      </c>
      <c r="Q32">
        <f>P32*Constants!$B$3</f>
        <v>0</v>
      </c>
      <c r="R32">
        <f>IF(Q32-N32&lt;=0, 0, Q32-N32)</f>
        <v>0</v>
      </c>
      <c r="S32">
        <f t="shared" si="50"/>
        <v>8.5500000000000007</v>
      </c>
      <c r="T32">
        <f>S32*Constants!$B$2</f>
        <v>23.94</v>
      </c>
      <c r="V32">
        <f t="shared" si="51"/>
        <v>0</v>
      </c>
      <c r="W32">
        <f t="shared" si="52"/>
        <v>0</v>
      </c>
      <c r="AA32" s="8"/>
      <c r="AJ32" s="4"/>
    </row>
    <row r="33" spans="1:36" x14ac:dyDescent="0.25">
      <c r="A33">
        <v>32</v>
      </c>
      <c r="B33">
        <v>9</v>
      </c>
      <c r="C33" t="s">
        <v>55</v>
      </c>
      <c r="D33" s="16" t="s">
        <v>678</v>
      </c>
      <c r="E33" s="16"/>
      <c r="F33">
        <v>14.01</v>
      </c>
      <c r="G33">
        <v>90</v>
      </c>
      <c r="H33">
        <v>2.4</v>
      </c>
      <c r="I33">
        <v>17.559999999999999</v>
      </c>
      <c r="L33">
        <f>Constants!$B$2</f>
        <v>2.8</v>
      </c>
      <c r="M33">
        <f t="shared" si="0"/>
        <v>90</v>
      </c>
      <c r="N33">
        <f>P33*Constants!$E$2</f>
        <v>4.08</v>
      </c>
      <c r="P33">
        <f t="shared" si="1"/>
        <v>2.4</v>
      </c>
      <c r="Q33">
        <f>P33*Constants!$B$3</f>
        <v>10.079999999999998</v>
      </c>
      <c r="R33">
        <f t="shared" si="5"/>
        <v>5.9999999999999982</v>
      </c>
      <c r="S33">
        <f t="shared" si="2"/>
        <v>15.159999999999998</v>
      </c>
      <c r="T33">
        <f>S33*Constants!$B$2</f>
        <v>42.447999999999993</v>
      </c>
      <c r="V33">
        <f t="shared" si="3"/>
        <v>0</v>
      </c>
      <c r="W33">
        <f t="shared" si="4"/>
        <v>0</v>
      </c>
      <c r="AA33" s="8"/>
      <c r="AJ33" s="4"/>
    </row>
    <row r="34" spans="1:36" x14ac:dyDescent="0.25">
      <c r="A34">
        <v>33</v>
      </c>
      <c r="B34">
        <v>9</v>
      </c>
      <c r="C34" t="s">
        <v>55</v>
      </c>
      <c r="D34" s="16" t="s">
        <v>679</v>
      </c>
      <c r="E34" s="16"/>
      <c r="F34">
        <v>8.09</v>
      </c>
      <c r="G34">
        <v>90</v>
      </c>
      <c r="H34">
        <v>1.2</v>
      </c>
      <c r="I34">
        <v>17.559999999999999</v>
      </c>
      <c r="L34">
        <f>Constants!$B$2</f>
        <v>2.8</v>
      </c>
      <c r="M34">
        <f t="shared" si="0"/>
        <v>90</v>
      </c>
      <c r="N34">
        <f>P34*Constants!$E$2</f>
        <v>2.04</v>
      </c>
      <c r="P34">
        <f t="shared" si="1"/>
        <v>1.2</v>
      </c>
      <c r="Q34">
        <f>P34*Constants!$B$3</f>
        <v>5.0399999999999991</v>
      </c>
      <c r="R34">
        <f t="shared" si="5"/>
        <v>2.9999999999999991</v>
      </c>
      <c r="S34">
        <f t="shared" si="2"/>
        <v>16.36</v>
      </c>
      <c r="T34">
        <f>S34*Constants!$B$2</f>
        <v>45.807999999999993</v>
      </c>
      <c r="V34">
        <f t="shared" si="3"/>
        <v>0</v>
      </c>
      <c r="W34">
        <f t="shared" si="4"/>
        <v>0</v>
      </c>
      <c r="AA34" s="8"/>
      <c r="AJ34" s="4"/>
    </row>
    <row r="35" spans="1:36" x14ac:dyDescent="0.25">
      <c r="A35">
        <v>34</v>
      </c>
      <c r="B35">
        <v>9</v>
      </c>
      <c r="C35" t="s">
        <v>59</v>
      </c>
      <c r="D35" s="16" t="s">
        <v>680</v>
      </c>
      <c r="F35">
        <v>27.2</v>
      </c>
      <c r="G35">
        <v>90</v>
      </c>
      <c r="H35">
        <v>4.8</v>
      </c>
      <c r="I35">
        <v>25.76</v>
      </c>
      <c r="L35">
        <f>Constants!$B$2</f>
        <v>2.8</v>
      </c>
      <c r="M35">
        <f t="shared" si="0"/>
        <v>90</v>
      </c>
      <c r="N35">
        <f>P35*Constants!$E$2</f>
        <v>8.16</v>
      </c>
      <c r="P35">
        <f t="shared" si="1"/>
        <v>4.8</v>
      </c>
      <c r="Q35">
        <f>P35*Constants!$B$3</f>
        <v>20.159999999999997</v>
      </c>
      <c r="R35">
        <f t="shared" si="5"/>
        <v>11.999999999999996</v>
      </c>
      <c r="S35">
        <f t="shared" si="2"/>
        <v>20.96</v>
      </c>
      <c r="T35">
        <f>S35*Constants!$B$2</f>
        <v>58.687999999999995</v>
      </c>
      <c r="V35">
        <f t="shared" si="3"/>
        <v>0</v>
      </c>
      <c r="W35">
        <f t="shared" si="4"/>
        <v>0</v>
      </c>
      <c r="AA35" s="8"/>
      <c r="AJ35" s="4"/>
    </row>
    <row r="36" spans="1:36" x14ac:dyDescent="0.25">
      <c r="A36">
        <v>35</v>
      </c>
      <c r="B36">
        <v>9</v>
      </c>
      <c r="C36" t="s">
        <v>66</v>
      </c>
      <c r="D36" s="16" t="s">
        <v>681</v>
      </c>
      <c r="F36">
        <v>6.12</v>
      </c>
      <c r="G36" t="s">
        <v>44</v>
      </c>
      <c r="H36">
        <v>0</v>
      </c>
      <c r="I36">
        <v>10.14</v>
      </c>
      <c r="L36">
        <f>Constants!$B$2</f>
        <v>2.8</v>
      </c>
      <c r="M36" t="str">
        <f t="shared" si="0"/>
        <v>N/A</v>
      </c>
      <c r="N36">
        <f>P36*Constants!$E$2</f>
        <v>0</v>
      </c>
      <c r="P36">
        <f t="shared" si="1"/>
        <v>0</v>
      </c>
      <c r="Q36">
        <f>P36*Constants!$B$3</f>
        <v>0</v>
      </c>
      <c r="R36">
        <f t="shared" si="5"/>
        <v>0</v>
      </c>
      <c r="S36">
        <f t="shared" si="2"/>
        <v>10.14</v>
      </c>
      <c r="T36">
        <f>S36*Constants!$B$2</f>
        <v>28.391999999999999</v>
      </c>
      <c r="V36">
        <f t="shared" si="3"/>
        <v>0</v>
      </c>
      <c r="W36">
        <f t="shared" si="4"/>
        <v>0</v>
      </c>
      <c r="AA36" s="8"/>
      <c r="AJ36" s="4"/>
    </row>
    <row r="37" spans="1:36" x14ac:dyDescent="0.25">
      <c r="A37">
        <v>36</v>
      </c>
      <c r="B37">
        <v>9</v>
      </c>
      <c r="C37" t="s">
        <v>49</v>
      </c>
      <c r="D37" s="16" t="s">
        <v>693</v>
      </c>
      <c r="F37">
        <v>20.98</v>
      </c>
      <c r="G37">
        <v>90</v>
      </c>
      <c r="H37">
        <v>3.6</v>
      </c>
      <c r="I37">
        <v>21.76</v>
      </c>
      <c r="L37">
        <f>Constants!$B$2</f>
        <v>2.8</v>
      </c>
      <c r="M37">
        <f t="shared" si="0"/>
        <v>90</v>
      </c>
      <c r="N37">
        <f>P37*Constants!$E$2</f>
        <v>6.12</v>
      </c>
      <c r="P37">
        <f t="shared" si="1"/>
        <v>3.6</v>
      </c>
      <c r="Q37">
        <f>P37*Constants!$B$3</f>
        <v>15.119999999999997</v>
      </c>
      <c r="R37">
        <f t="shared" si="5"/>
        <v>8.9999999999999964</v>
      </c>
      <c r="S37">
        <f t="shared" si="2"/>
        <v>18.16</v>
      </c>
      <c r="T37">
        <f>S37*Constants!$B$2</f>
        <v>50.847999999999999</v>
      </c>
      <c r="V37">
        <f t="shared" si="3"/>
        <v>0</v>
      </c>
      <c r="W37">
        <f t="shared" si="4"/>
        <v>0</v>
      </c>
      <c r="AA37" s="8"/>
      <c r="AJ37" s="4"/>
    </row>
    <row r="38" spans="1:36" x14ac:dyDescent="0.25">
      <c r="A38">
        <v>37</v>
      </c>
      <c r="B38">
        <v>9</v>
      </c>
      <c r="C38" t="s">
        <v>64</v>
      </c>
      <c r="D38" s="16" t="s">
        <v>697</v>
      </c>
      <c r="E38" s="16" t="s">
        <v>693</v>
      </c>
      <c r="F38">
        <v>3.71</v>
      </c>
      <c r="G38" t="s">
        <v>44</v>
      </c>
      <c r="H38">
        <v>0</v>
      </c>
      <c r="I38">
        <v>8.5500000000000007</v>
      </c>
      <c r="L38">
        <f>Constants!$B$2</f>
        <v>2.8</v>
      </c>
      <c r="M38" t="str">
        <f t="shared" si="0"/>
        <v>N/A</v>
      </c>
      <c r="N38">
        <f>P38*Constants!$E$2</f>
        <v>0</v>
      </c>
      <c r="P38">
        <f t="shared" si="1"/>
        <v>0</v>
      </c>
      <c r="Q38">
        <f>P38*Constants!$B$3</f>
        <v>0</v>
      </c>
      <c r="R38">
        <f>IF(Q38-N38&lt;=0, 0, Q38-N38)</f>
        <v>0</v>
      </c>
      <c r="S38">
        <f t="shared" si="2"/>
        <v>8.5500000000000007</v>
      </c>
      <c r="T38">
        <f>S38*Constants!$B$2</f>
        <v>23.94</v>
      </c>
      <c r="V38">
        <f t="shared" si="3"/>
        <v>0</v>
      </c>
      <c r="W38">
        <f t="shared" si="4"/>
        <v>0</v>
      </c>
      <c r="AA38" s="8"/>
      <c r="AJ38" s="4"/>
    </row>
    <row r="39" spans="1:36" x14ac:dyDescent="0.25">
      <c r="A39">
        <v>38</v>
      </c>
      <c r="B39">
        <v>9</v>
      </c>
      <c r="C39" t="s">
        <v>49</v>
      </c>
      <c r="D39" s="16" t="s">
        <v>694</v>
      </c>
      <c r="F39">
        <v>20.98</v>
      </c>
      <c r="G39">
        <v>90</v>
      </c>
      <c r="H39">
        <v>3.6</v>
      </c>
      <c r="I39">
        <v>21.76</v>
      </c>
      <c r="L39">
        <f>Constants!$B$2</f>
        <v>2.8</v>
      </c>
      <c r="M39">
        <f t="shared" ref="M39:M42" si="53">IF(N39&gt;0,G39,"N/A")</f>
        <v>90</v>
      </c>
      <c r="N39">
        <f>P39*Constants!$E$2</f>
        <v>6.12</v>
      </c>
      <c r="P39">
        <f t="shared" ref="P39:P42" si="54">H39</f>
        <v>3.6</v>
      </c>
      <c r="Q39">
        <f>P39*Constants!$B$3</f>
        <v>15.119999999999997</v>
      </c>
      <c r="R39">
        <f t="shared" ref="R39" si="55">IF(Q39-N39&lt;=0, 0, Q39-N39)</f>
        <v>8.9999999999999964</v>
      </c>
      <c r="S39">
        <f t="shared" ref="S39:S42" si="56">I39-P39</f>
        <v>18.16</v>
      </c>
      <c r="T39">
        <f>S39*Constants!$B$2</f>
        <v>50.847999999999999</v>
      </c>
      <c r="V39">
        <f t="shared" ref="V39:V42" si="57">IF(B39="E",1,0)</f>
        <v>0</v>
      </c>
      <c r="W39">
        <f t="shared" ref="W39:W42" si="58">IF(B39=10,1,0)</f>
        <v>0</v>
      </c>
      <c r="AA39" s="8"/>
      <c r="AJ39" s="4"/>
    </row>
    <row r="40" spans="1:36" x14ac:dyDescent="0.25">
      <c r="A40">
        <v>39</v>
      </c>
      <c r="B40">
        <v>9</v>
      </c>
      <c r="C40" t="s">
        <v>64</v>
      </c>
      <c r="D40" s="16" t="s">
        <v>698</v>
      </c>
      <c r="E40" s="16" t="s">
        <v>694</v>
      </c>
      <c r="F40">
        <v>3.71</v>
      </c>
      <c r="G40" t="s">
        <v>44</v>
      </c>
      <c r="H40">
        <v>0</v>
      </c>
      <c r="I40">
        <v>8.5500000000000007</v>
      </c>
      <c r="L40">
        <f>Constants!$B$2</f>
        <v>2.8</v>
      </c>
      <c r="M40" t="str">
        <f t="shared" si="53"/>
        <v>N/A</v>
      </c>
      <c r="N40">
        <f>P40*Constants!$E$2</f>
        <v>0</v>
      </c>
      <c r="P40">
        <f t="shared" si="54"/>
        <v>0</v>
      </c>
      <c r="Q40">
        <f>P40*Constants!$B$3</f>
        <v>0</v>
      </c>
      <c r="R40">
        <f>IF(Q40-N40&lt;=0, 0, Q40-N40)</f>
        <v>0</v>
      </c>
      <c r="S40">
        <f t="shared" si="56"/>
        <v>8.5500000000000007</v>
      </c>
      <c r="T40">
        <f>S40*Constants!$B$2</f>
        <v>23.94</v>
      </c>
      <c r="V40">
        <f t="shared" si="57"/>
        <v>0</v>
      </c>
      <c r="W40">
        <f t="shared" si="58"/>
        <v>0</v>
      </c>
      <c r="AA40" s="8"/>
      <c r="AJ40" s="4"/>
    </row>
    <row r="41" spans="1:36" x14ac:dyDescent="0.25">
      <c r="A41">
        <v>40</v>
      </c>
      <c r="B41">
        <v>9</v>
      </c>
      <c r="C41" t="s">
        <v>49</v>
      </c>
      <c r="D41" s="16" t="s">
        <v>695</v>
      </c>
      <c r="F41">
        <v>20.61</v>
      </c>
      <c r="G41">
        <v>90</v>
      </c>
      <c r="H41">
        <v>3.6</v>
      </c>
      <c r="I41">
        <v>21.66</v>
      </c>
      <c r="L41">
        <f>Constants!$B$2</f>
        <v>2.8</v>
      </c>
      <c r="M41">
        <f t="shared" si="53"/>
        <v>90</v>
      </c>
      <c r="N41">
        <f>P41*Constants!$E$2</f>
        <v>6.12</v>
      </c>
      <c r="P41">
        <f t="shared" si="54"/>
        <v>3.6</v>
      </c>
      <c r="Q41">
        <f>P41*Constants!$B$3</f>
        <v>15.119999999999997</v>
      </c>
      <c r="R41">
        <f t="shared" ref="R41" si="59">IF(Q41-N41&lt;=0, 0, Q41-N41)</f>
        <v>8.9999999999999964</v>
      </c>
      <c r="S41">
        <f t="shared" si="56"/>
        <v>18.059999999999999</v>
      </c>
      <c r="T41">
        <f>S41*Constants!$B$2</f>
        <v>50.567999999999991</v>
      </c>
      <c r="V41">
        <f t="shared" si="57"/>
        <v>0</v>
      </c>
      <c r="W41">
        <f t="shared" si="58"/>
        <v>0</v>
      </c>
      <c r="AA41" s="8"/>
      <c r="AJ41" s="4"/>
    </row>
    <row r="42" spans="1:36" x14ac:dyDescent="0.25">
      <c r="A42">
        <v>41</v>
      </c>
      <c r="B42">
        <v>9</v>
      </c>
      <c r="C42" t="s">
        <v>64</v>
      </c>
      <c r="D42" s="16" t="s">
        <v>699</v>
      </c>
      <c r="E42" s="16" t="s">
        <v>695</v>
      </c>
      <c r="F42">
        <v>3.71</v>
      </c>
      <c r="G42" t="s">
        <v>44</v>
      </c>
      <c r="H42">
        <v>0</v>
      </c>
      <c r="I42">
        <v>8.5500000000000007</v>
      </c>
      <c r="L42">
        <f>Constants!$B$2</f>
        <v>2.8</v>
      </c>
      <c r="M42" t="str">
        <f t="shared" si="53"/>
        <v>N/A</v>
      </c>
      <c r="N42">
        <f>P42*Constants!$E$2</f>
        <v>0</v>
      </c>
      <c r="P42">
        <f t="shared" si="54"/>
        <v>0</v>
      </c>
      <c r="Q42">
        <f>P42*Constants!$B$3</f>
        <v>0</v>
      </c>
      <c r="R42">
        <f>IF(Q42-N42&lt;=0, 0, Q42-N42)</f>
        <v>0</v>
      </c>
      <c r="S42">
        <f t="shared" si="56"/>
        <v>8.5500000000000007</v>
      </c>
      <c r="T42">
        <f>S42*Constants!$B$2</f>
        <v>23.94</v>
      </c>
      <c r="V42">
        <f t="shared" si="57"/>
        <v>0</v>
      </c>
      <c r="W42">
        <f t="shared" si="58"/>
        <v>0</v>
      </c>
      <c r="AA42" s="8"/>
      <c r="AJ42" s="4"/>
    </row>
    <row r="43" spans="1:36" x14ac:dyDescent="0.25">
      <c r="A43">
        <v>42</v>
      </c>
      <c r="B43">
        <v>9</v>
      </c>
      <c r="C43" t="s">
        <v>45</v>
      </c>
      <c r="D43" s="16" t="s">
        <v>696</v>
      </c>
      <c r="F43">
        <v>18.66</v>
      </c>
      <c r="G43" t="s">
        <v>44</v>
      </c>
      <c r="H43">
        <v>0</v>
      </c>
      <c r="I43">
        <v>17.309999999999999</v>
      </c>
      <c r="L43">
        <f>Constants!$B$2</f>
        <v>2.8</v>
      </c>
      <c r="M43" t="str">
        <f t="shared" ref="M43" si="60">IF(N43&gt;0,G43,"N/A")</f>
        <v>N/A</v>
      </c>
      <c r="N43">
        <f>P43*Constants!$E$2</f>
        <v>0</v>
      </c>
      <c r="P43">
        <f t="shared" ref="P43" si="61">H43</f>
        <v>0</v>
      </c>
      <c r="Q43">
        <f>P43*Constants!$B$3</f>
        <v>0</v>
      </c>
      <c r="R43">
        <f t="shared" ref="R43" si="62">IF(Q43-N43&lt;=0, 0, Q43-N43)</f>
        <v>0</v>
      </c>
      <c r="S43">
        <f t="shared" ref="S43" si="63">I43-P43</f>
        <v>17.309999999999999</v>
      </c>
      <c r="T43">
        <f>S43*Constants!$B$2</f>
        <v>48.467999999999996</v>
      </c>
      <c r="V43">
        <f t="shared" ref="V43" si="64">IF(B43="E",1,0)</f>
        <v>0</v>
      </c>
      <c r="W43">
        <f t="shared" ref="W43" si="65">IF(B43=10,1,0)</f>
        <v>0</v>
      </c>
      <c r="AA43" s="8"/>
      <c r="AJ43" s="4"/>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4"/>
    </row>
    <row r="442" spans="4:4" x14ac:dyDescent="0.25">
      <c r="D442" s="14"/>
    </row>
    <row r="443" spans="4:4" x14ac:dyDescent="0.25">
      <c r="D443" s="13"/>
    </row>
    <row r="444" spans="4:4" x14ac:dyDescent="0.25">
      <c r="D444" s="13"/>
    </row>
    <row r="445" spans="4:4" x14ac:dyDescent="0.25">
      <c r="D445" s="13"/>
    </row>
    <row r="446" spans="4:4" x14ac:dyDescent="0.25">
      <c r="D446" s="13"/>
    </row>
    <row r="447" spans="4:4" x14ac:dyDescent="0.25">
      <c r="D447" s="13"/>
    </row>
    <row r="448" spans="4:4" x14ac:dyDescent="0.25">
      <c r="D448" s="13"/>
    </row>
    <row r="449" spans="4:4" x14ac:dyDescent="0.25">
      <c r="D449" s="13"/>
    </row>
    <row r="450" spans="4:4" x14ac:dyDescent="0.25">
      <c r="D450" s="13"/>
    </row>
  </sheetData>
  <phoneticPr fontId="5" type="noConversion"/>
  <pageMargins left="0.7" right="0.7" top="0.78740157499999996" bottom="0.78740157499999996"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0"/>
  <sheetViews>
    <sheetView zoomScaleNormal="100" workbookViewId="0">
      <pane xSplit="4" ySplit="1" topLeftCell="H2" activePane="bottomRight" state="frozen"/>
      <selection pane="topRight" activeCell="F1" sqref="F1"/>
      <selection pane="bottomLeft" activeCell="A2" sqref="A2"/>
      <selection pane="bottomRight" activeCell="I5" sqref="I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50</v>
      </c>
      <c r="D2" s="16" t="s">
        <v>700</v>
      </c>
      <c r="F2">
        <v>10.94</v>
      </c>
      <c r="G2" t="s">
        <v>44</v>
      </c>
      <c r="H2">
        <v>0</v>
      </c>
      <c r="I2">
        <v>14.55</v>
      </c>
      <c r="L2">
        <f>Constants!$B$2</f>
        <v>2.8</v>
      </c>
      <c r="M2" t="str">
        <f t="shared" ref="M2:M43" si="0">IF(N2&gt;0,G2,"N/A")</f>
        <v>N/A</v>
      </c>
      <c r="N2">
        <f>P2*Constants!$E$2</f>
        <v>0</v>
      </c>
      <c r="P2">
        <f>H2</f>
        <v>0</v>
      </c>
      <c r="Q2">
        <f>P2*Constants!$B$3</f>
        <v>0</v>
      </c>
      <c r="R2">
        <f>IF(Q2-N2&lt;=0, 0, Q2-N2)</f>
        <v>0</v>
      </c>
      <c r="S2">
        <f>I2-P2</f>
        <v>14.55</v>
      </c>
      <c r="T2">
        <f>S2*Constants!$B$2</f>
        <v>40.74</v>
      </c>
      <c r="V2">
        <f>IF(B2="E",1,0)</f>
        <v>0</v>
      </c>
      <c r="W2">
        <f>IF(B2=10,1,0)</f>
        <v>0</v>
      </c>
      <c r="AA2" s="8"/>
      <c r="AJ2" s="4"/>
    </row>
    <row r="3" spans="1:40" x14ac:dyDescent="0.25">
      <c r="A3">
        <v>2</v>
      </c>
      <c r="B3">
        <v>9</v>
      </c>
      <c r="C3" t="s">
        <v>45</v>
      </c>
      <c r="D3" s="16" t="s">
        <v>701</v>
      </c>
      <c r="F3">
        <v>19.98</v>
      </c>
      <c r="G3" t="s">
        <v>44</v>
      </c>
      <c r="H3">
        <v>0</v>
      </c>
      <c r="I3">
        <v>22.05</v>
      </c>
      <c r="L3">
        <f>Constants!$B$2</f>
        <v>2.8</v>
      </c>
      <c r="M3" t="str">
        <f t="shared" si="0"/>
        <v>N/A</v>
      </c>
      <c r="N3">
        <f>P3*Constants!$E$2</f>
        <v>0</v>
      </c>
      <c r="P3">
        <f t="shared" ref="P3:P43" si="1">H3</f>
        <v>0</v>
      </c>
      <c r="Q3">
        <f>P3*Constants!$B$3</f>
        <v>0</v>
      </c>
      <c r="R3">
        <f>IF(Q3-N3&lt;=0, 0, Q3-N3)</f>
        <v>0</v>
      </c>
      <c r="S3">
        <f t="shared" ref="S3:S43" si="2">I3-P3</f>
        <v>22.05</v>
      </c>
      <c r="T3">
        <f>S3*Constants!$B$2</f>
        <v>61.739999999999995</v>
      </c>
      <c r="V3">
        <f t="shared" ref="V3:V43" si="3">IF(B3="E",1,0)</f>
        <v>0</v>
      </c>
      <c r="W3">
        <f t="shared" ref="W3:W43" si="4">IF(B3=10,1,0)</f>
        <v>0</v>
      </c>
      <c r="AA3" s="8"/>
      <c r="AJ3" s="4"/>
    </row>
    <row r="4" spans="1:40" x14ac:dyDescent="0.25">
      <c r="A4">
        <v>3</v>
      </c>
      <c r="B4">
        <v>9</v>
      </c>
      <c r="C4" t="s">
        <v>49</v>
      </c>
      <c r="D4" s="16" t="s">
        <v>702</v>
      </c>
      <c r="F4">
        <v>20.61</v>
      </c>
      <c r="G4">
        <v>270</v>
      </c>
      <c r="H4">
        <v>3.6</v>
      </c>
      <c r="I4">
        <v>21.66</v>
      </c>
      <c r="L4">
        <f>Constants!$B$2</f>
        <v>2.8</v>
      </c>
      <c r="M4">
        <f t="shared" si="0"/>
        <v>270</v>
      </c>
      <c r="N4">
        <f>P4*Constants!$E$2</f>
        <v>6.12</v>
      </c>
      <c r="P4">
        <f t="shared" si="1"/>
        <v>3.6</v>
      </c>
      <c r="Q4">
        <f>P4*Constants!$B$3</f>
        <v>15.119999999999997</v>
      </c>
      <c r="R4">
        <f t="shared" ref="R4:R37" si="5">IF(Q4-N4&lt;=0, 0, Q4-N4)</f>
        <v>8.9999999999999964</v>
      </c>
      <c r="S4">
        <f t="shared" si="2"/>
        <v>18.059999999999999</v>
      </c>
      <c r="T4">
        <f>S4*Constants!$B$2</f>
        <v>50.567999999999991</v>
      </c>
      <c r="V4">
        <f t="shared" si="3"/>
        <v>0</v>
      </c>
      <c r="W4">
        <f t="shared" si="4"/>
        <v>0</v>
      </c>
      <c r="AA4" s="8"/>
      <c r="AJ4" s="4"/>
    </row>
    <row r="5" spans="1:40" x14ac:dyDescent="0.25">
      <c r="A5">
        <v>4</v>
      </c>
      <c r="B5">
        <v>9</v>
      </c>
      <c r="C5" t="s">
        <v>64</v>
      </c>
      <c r="D5" s="16" t="s">
        <v>703</v>
      </c>
      <c r="E5" s="16" t="s">
        <v>702</v>
      </c>
      <c r="F5">
        <v>3.71</v>
      </c>
      <c r="G5" t="s">
        <v>44</v>
      </c>
      <c r="H5">
        <v>0</v>
      </c>
      <c r="I5">
        <v>8.5500000000000007</v>
      </c>
      <c r="L5">
        <f>Constants!$B$2</f>
        <v>2.8</v>
      </c>
      <c r="M5" t="str">
        <f t="shared" si="0"/>
        <v>N/A</v>
      </c>
      <c r="N5">
        <f>P5*Constants!$E$2</f>
        <v>0</v>
      </c>
      <c r="P5">
        <f t="shared" si="1"/>
        <v>0</v>
      </c>
      <c r="Q5">
        <f>P5*Constants!$B$3</f>
        <v>0</v>
      </c>
      <c r="R5">
        <f>IF(Q5-N5&lt;=0, 0, Q5-N5)</f>
        <v>0</v>
      </c>
      <c r="S5">
        <f t="shared" si="2"/>
        <v>8.5500000000000007</v>
      </c>
      <c r="T5">
        <f>S5*Constants!$B$2</f>
        <v>23.94</v>
      </c>
      <c r="V5">
        <f t="shared" si="3"/>
        <v>0</v>
      </c>
      <c r="W5">
        <f t="shared" si="4"/>
        <v>0</v>
      </c>
      <c r="AA5" s="8"/>
      <c r="AJ5" s="4"/>
    </row>
    <row r="6" spans="1:40" x14ac:dyDescent="0.25">
      <c r="A6">
        <v>5</v>
      </c>
      <c r="B6">
        <v>9</v>
      </c>
      <c r="C6" t="s">
        <v>49</v>
      </c>
      <c r="D6" s="16" t="s">
        <v>704</v>
      </c>
      <c r="F6">
        <v>20.98</v>
      </c>
      <c r="G6">
        <v>270</v>
      </c>
      <c r="H6">
        <v>3.6</v>
      </c>
      <c r="I6">
        <v>21.76</v>
      </c>
      <c r="L6">
        <f>Constants!$B$2</f>
        <v>2.8</v>
      </c>
      <c r="M6">
        <f t="shared" si="0"/>
        <v>270</v>
      </c>
      <c r="N6">
        <f>P6*Constants!$E$2</f>
        <v>6.12</v>
      </c>
      <c r="P6">
        <f t="shared" si="1"/>
        <v>3.6</v>
      </c>
      <c r="Q6">
        <f>P6*Constants!$B$3</f>
        <v>15.119999999999997</v>
      </c>
      <c r="R6">
        <f t="shared" si="5"/>
        <v>8.9999999999999964</v>
      </c>
      <c r="S6">
        <f t="shared" si="2"/>
        <v>18.16</v>
      </c>
      <c r="T6">
        <f>S6*Constants!$B$2</f>
        <v>50.847999999999999</v>
      </c>
      <c r="V6">
        <f t="shared" si="3"/>
        <v>0</v>
      </c>
      <c r="W6">
        <f t="shared" si="4"/>
        <v>0</v>
      </c>
      <c r="AA6" s="8"/>
      <c r="AJ6" s="4"/>
    </row>
    <row r="7" spans="1:40" x14ac:dyDescent="0.25">
      <c r="A7">
        <v>6</v>
      </c>
      <c r="B7">
        <v>9</v>
      </c>
      <c r="C7" t="s">
        <v>64</v>
      </c>
      <c r="D7" s="16" t="s">
        <v>705</v>
      </c>
      <c r="E7" s="16" t="s">
        <v>704</v>
      </c>
      <c r="F7">
        <v>3.71</v>
      </c>
      <c r="G7" t="s">
        <v>44</v>
      </c>
      <c r="H7">
        <v>0</v>
      </c>
      <c r="I7">
        <v>8.5500000000000007</v>
      </c>
      <c r="L7">
        <f>Constants!$B$2</f>
        <v>2.8</v>
      </c>
      <c r="M7" t="str">
        <f t="shared" si="0"/>
        <v>N/A</v>
      </c>
      <c r="N7">
        <f>P7*Constants!$E$2</f>
        <v>0</v>
      </c>
      <c r="P7">
        <f t="shared" si="1"/>
        <v>0</v>
      </c>
      <c r="Q7">
        <f>P7*Constants!$B$3</f>
        <v>0</v>
      </c>
      <c r="R7">
        <f>IF(Q7-N7&lt;=0, 0, Q7-N7)</f>
        <v>0</v>
      </c>
      <c r="S7">
        <f t="shared" si="2"/>
        <v>8.5500000000000007</v>
      </c>
      <c r="T7">
        <f>S7*Constants!$B$2</f>
        <v>23.94</v>
      </c>
      <c r="V7">
        <f t="shared" si="3"/>
        <v>0</v>
      </c>
      <c r="W7">
        <f t="shared" si="4"/>
        <v>0</v>
      </c>
      <c r="AA7" s="8"/>
      <c r="AJ7" s="4"/>
    </row>
    <row r="8" spans="1:40" x14ac:dyDescent="0.25">
      <c r="A8">
        <v>7</v>
      </c>
      <c r="B8">
        <v>9</v>
      </c>
      <c r="C8" t="s">
        <v>49</v>
      </c>
      <c r="D8" s="16" t="s">
        <v>706</v>
      </c>
      <c r="F8">
        <v>20.98</v>
      </c>
      <c r="G8">
        <v>270</v>
      </c>
      <c r="H8">
        <v>3.6</v>
      </c>
      <c r="I8">
        <v>21.76</v>
      </c>
      <c r="L8">
        <f>Constants!$B$2</f>
        <v>2.8</v>
      </c>
      <c r="M8">
        <f t="shared" si="0"/>
        <v>270</v>
      </c>
      <c r="N8">
        <f>P8*Constants!$E$2</f>
        <v>6.12</v>
      </c>
      <c r="P8">
        <f t="shared" si="1"/>
        <v>3.6</v>
      </c>
      <c r="Q8">
        <f>P8*Constants!$B$3</f>
        <v>15.119999999999997</v>
      </c>
      <c r="R8">
        <f t="shared" ref="R8" si="6">IF(Q8-N8&lt;=0, 0, Q8-N8)</f>
        <v>8.9999999999999964</v>
      </c>
      <c r="S8">
        <f t="shared" si="2"/>
        <v>18.16</v>
      </c>
      <c r="T8">
        <f>S8*Constants!$B$2</f>
        <v>50.847999999999999</v>
      </c>
      <c r="V8">
        <f t="shared" si="3"/>
        <v>0</v>
      </c>
      <c r="W8">
        <f t="shared" si="4"/>
        <v>0</v>
      </c>
      <c r="AA8" s="8"/>
      <c r="AJ8" s="4"/>
    </row>
    <row r="9" spans="1:40" x14ac:dyDescent="0.25">
      <c r="A9">
        <v>8</v>
      </c>
      <c r="B9">
        <v>9</v>
      </c>
      <c r="C9" t="s">
        <v>64</v>
      </c>
      <c r="D9" s="16" t="s">
        <v>707</v>
      </c>
      <c r="E9" s="16" t="s">
        <v>706</v>
      </c>
      <c r="F9">
        <v>3.71</v>
      </c>
      <c r="G9" t="s">
        <v>44</v>
      </c>
      <c r="H9">
        <v>0</v>
      </c>
      <c r="I9">
        <v>8.5500000000000007</v>
      </c>
      <c r="L9">
        <f>Constants!$B$2</f>
        <v>2.8</v>
      </c>
      <c r="M9" t="str">
        <f t="shared" si="0"/>
        <v>N/A</v>
      </c>
      <c r="N9">
        <f>P9*Constants!$E$2</f>
        <v>0</v>
      </c>
      <c r="P9">
        <f t="shared" si="1"/>
        <v>0</v>
      </c>
      <c r="Q9">
        <f>P9*Constants!$B$3</f>
        <v>0</v>
      </c>
      <c r="R9">
        <f>IF(Q9-N9&lt;=0, 0, Q9-N9)</f>
        <v>0</v>
      </c>
      <c r="S9">
        <f t="shared" si="2"/>
        <v>8.5500000000000007</v>
      </c>
      <c r="T9">
        <f>S9*Constants!$B$2</f>
        <v>23.94</v>
      </c>
      <c r="V9">
        <f t="shared" si="3"/>
        <v>0</v>
      </c>
      <c r="W9">
        <f t="shared" si="4"/>
        <v>0</v>
      </c>
      <c r="AA9" s="8"/>
      <c r="AJ9" s="4"/>
    </row>
    <row r="10" spans="1:40" x14ac:dyDescent="0.25">
      <c r="A10">
        <v>9</v>
      </c>
      <c r="B10">
        <v>9</v>
      </c>
      <c r="C10" t="s">
        <v>62</v>
      </c>
      <c r="D10" s="16" t="s">
        <v>708</v>
      </c>
      <c r="E10" s="16"/>
      <c r="F10">
        <v>20.95</v>
      </c>
      <c r="G10" t="s">
        <v>44</v>
      </c>
      <c r="H10">
        <v>0</v>
      </c>
      <c r="I10">
        <v>24.8</v>
      </c>
      <c r="L10">
        <f>Constants!$B$2</f>
        <v>2.8</v>
      </c>
      <c r="M10" t="str">
        <f t="shared" si="0"/>
        <v>N/A</v>
      </c>
      <c r="N10">
        <f>P10*Constants!$E$2</f>
        <v>0</v>
      </c>
      <c r="P10">
        <f t="shared" si="1"/>
        <v>0</v>
      </c>
      <c r="Q10">
        <f>P10*Constants!$B$3</f>
        <v>0</v>
      </c>
      <c r="R10">
        <f>IF(Q10-N10&lt;=0, 0, Q10-N10)</f>
        <v>0</v>
      </c>
      <c r="S10">
        <f t="shared" si="2"/>
        <v>24.8</v>
      </c>
      <c r="T10">
        <f>S10*Constants!$B$2</f>
        <v>69.44</v>
      </c>
      <c r="V10">
        <f t="shared" si="3"/>
        <v>0</v>
      </c>
      <c r="W10">
        <f t="shared" si="4"/>
        <v>0</v>
      </c>
      <c r="AA10" s="8"/>
      <c r="AJ10" s="4"/>
    </row>
    <row r="11" spans="1:40" x14ac:dyDescent="0.25">
      <c r="A11">
        <v>10</v>
      </c>
      <c r="B11">
        <v>9</v>
      </c>
      <c r="C11" t="s">
        <v>50</v>
      </c>
      <c r="D11" s="16" t="s">
        <v>709</v>
      </c>
      <c r="E11" s="16"/>
      <c r="F11">
        <v>12.39</v>
      </c>
      <c r="G11">
        <v>270</v>
      </c>
      <c r="H11">
        <v>3.6</v>
      </c>
      <c r="I11">
        <v>14.64</v>
      </c>
      <c r="L11">
        <f>Constants!$B$2</f>
        <v>2.8</v>
      </c>
      <c r="M11">
        <f t="shared" si="0"/>
        <v>270</v>
      </c>
      <c r="N11">
        <f>P11*Constants!$E$2</f>
        <v>6.12</v>
      </c>
      <c r="P11">
        <f t="shared" si="1"/>
        <v>3.6</v>
      </c>
      <c r="Q11">
        <f>P11*Constants!$B$3</f>
        <v>15.119999999999997</v>
      </c>
      <c r="R11">
        <f t="shared" si="5"/>
        <v>8.9999999999999964</v>
      </c>
      <c r="S11">
        <f t="shared" si="2"/>
        <v>11.040000000000001</v>
      </c>
      <c r="T11">
        <f>S11*Constants!$B$2</f>
        <v>30.911999999999999</v>
      </c>
      <c r="V11">
        <f t="shared" si="3"/>
        <v>0</v>
      </c>
      <c r="W11">
        <f t="shared" si="4"/>
        <v>0</v>
      </c>
      <c r="AA11" s="8"/>
      <c r="AJ11" s="4"/>
    </row>
    <row r="12" spans="1:40" x14ac:dyDescent="0.25">
      <c r="A12">
        <v>11</v>
      </c>
      <c r="B12">
        <v>9</v>
      </c>
      <c r="C12" t="s">
        <v>59</v>
      </c>
      <c r="D12" s="16" t="s">
        <v>710</v>
      </c>
      <c r="F12">
        <v>15.93</v>
      </c>
      <c r="G12">
        <v>270</v>
      </c>
      <c r="H12">
        <v>4.8</v>
      </c>
      <c r="I12">
        <v>17.850000000000001</v>
      </c>
      <c r="L12">
        <f>Constants!$B$2</f>
        <v>2.8</v>
      </c>
      <c r="M12">
        <f t="shared" si="0"/>
        <v>270</v>
      </c>
      <c r="N12">
        <f>P12*Constants!$E$2</f>
        <v>8.16</v>
      </c>
      <c r="P12">
        <f t="shared" si="1"/>
        <v>4.8</v>
      </c>
      <c r="Q12">
        <f>P12*Constants!$B$3</f>
        <v>20.159999999999997</v>
      </c>
      <c r="R12">
        <f t="shared" si="5"/>
        <v>11.999999999999996</v>
      </c>
      <c r="S12">
        <f t="shared" si="2"/>
        <v>13.05</v>
      </c>
      <c r="T12">
        <f>S12*Constants!$B$2</f>
        <v>36.54</v>
      </c>
      <c r="V12">
        <f t="shared" si="3"/>
        <v>0</v>
      </c>
      <c r="W12">
        <f t="shared" si="4"/>
        <v>0</v>
      </c>
      <c r="AA12" s="8"/>
      <c r="AJ12" s="4"/>
    </row>
    <row r="13" spans="1:40" x14ac:dyDescent="0.25">
      <c r="A13">
        <v>12</v>
      </c>
      <c r="B13">
        <v>9</v>
      </c>
      <c r="C13" t="s">
        <v>49</v>
      </c>
      <c r="D13" s="16" t="s">
        <v>711</v>
      </c>
      <c r="F13">
        <v>19.29</v>
      </c>
      <c r="G13">
        <v>270</v>
      </c>
      <c r="H13">
        <v>3.6</v>
      </c>
      <c r="I13">
        <v>19.66</v>
      </c>
      <c r="L13">
        <f>Constants!$B$2</f>
        <v>2.8</v>
      </c>
      <c r="M13">
        <f t="shared" si="0"/>
        <v>270</v>
      </c>
      <c r="N13">
        <f>P13*Constants!$E$2</f>
        <v>6.12</v>
      </c>
      <c r="P13">
        <f t="shared" si="1"/>
        <v>3.6</v>
      </c>
      <c r="Q13">
        <f>P13*Constants!$B$3</f>
        <v>15.119999999999997</v>
      </c>
      <c r="R13">
        <f t="shared" si="5"/>
        <v>8.9999999999999964</v>
      </c>
      <c r="S13">
        <f t="shared" si="2"/>
        <v>16.059999999999999</v>
      </c>
      <c r="T13">
        <f>S13*Constants!$B$2</f>
        <v>44.967999999999996</v>
      </c>
      <c r="V13">
        <f t="shared" si="3"/>
        <v>0</v>
      </c>
      <c r="W13">
        <f t="shared" si="4"/>
        <v>0</v>
      </c>
      <c r="AA13" s="8"/>
      <c r="AJ13" s="4"/>
    </row>
    <row r="14" spans="1:40" x14ac:dyDescent="0.25">
      <c r="A14">
        <v>13</v>
      </c>
      <c r="B14">
        <v>9</v>
      </c>
      <c r="C14" t="s">
        <v>64</v>
      </c>
      <c r="D14" s="16" t="s">
        <v>712</v>
      </c>
      <c r="E14" s="16" t="s">
        <v>711</v>
      </c>
      <c r="F14">
        <v>3.71</v>
      </c>
      <c r="G14" t="s">
        <v>44</v>
      </c>
      <c r="H14">
        <v>0</v>
      </c>
      <c r="I14">
        <v>8.5500000000000007</v>
      </c>
      <c r="L14">
        <f>Constants!$B$2</f>
        <v>2.8</v>
      </c>
      <c r="M14" t="str">
        <f t="shared" si="0"/>
        <v>N/A</v>
      </c>
      <c r="N14">
        <f>P14*Constants!$E$2</f>
        <v>0</v>
      </c>
      <c r="P14">
        <f t="shared" si="1"/>
        <v>0</v>
      </c>
      <c r="Q14">
        <f>P14*Constants!$B$3</f>
        <v>0</v>
      </c>
      <c r="R14">
        <f>IF(Q14-N14&lt;=0, 0, Q14-N14)</f>
        <v>0</v>
      </c>
      <c r="S14">
        <f t="shared" si="2"/>
        <v>8.5500000000000007</v>
      </c>
      <c r="T14">
        <f>S14*Constants!$B$2</f>
        <v>23.94</v>
      </c>
      <c r="V14">
        <f t="shared" si="3"/>
        <v>0</v>
      </c>
      <c r="W14">
        <f t="shared" si="4"/>
        <v>0</v>
      </c>
      <c r="AA14" s="8"/>
      <c r="AJ14" s="4"/>
    </row>
    <row r="15" spans="1:40" x14ac:dyDescent="0.25">
      <c r="A15">
        <v>14</v>
      </c>
      <c r="B15">
        <v>9</v>
      </c>
      <c r="C15" t="s">
        <v>49</v>
      </c>
      <c r="D15" s="16" t="s">
        <v>713</v>
      </c>
      <c r="F15">
        <v>20.98</v>
      </c>
      <c r="G15">
        <v>270</v>
      </c>
      <c r="H15">
        <v>3.6</v>
      </c>
      <c r="I15">
        <v>21.76</v>
      </c>
      <c r="L15">
        <f>Constants!$B$2</f>
        <v>2.8</v>
      </c>
      <c r="M15">
        <f t="shared" si="0"/>
        <v>270</v>
      </c>
      <c r="N15">
        <f>P15*Constants!$E$2</f>
        <v>6.12</v>
      </c>
      <c r="P15">
        <f t="shared" si="1"/>
        <v>3.6</v>
      </c>
      <c r="Q15">
        <f>P15*Constants!$B$3</f>
        <v>15.119999999999997</v>
      </c>
      <c r="R15">
        <f t="shared" ref="R15" si="7">IF(Q15-N15&lt;=0, 0, Q15-N15)</f>
        <v>8.9999999999999964</v>
      </c>
      <c r="S15">
        <f t="shared" si="2"/>
        <v>18.16</v>
      </c>
      <c r="T15">
        <f>S15*Constants!$B$2</f>
        <v>50.847999999999999</v>
      </c>
      <c r="V15">
        <f t="shared" si="3"/>
        <v>0</v>
      </c>
      <c r="W15">
        <f t="shared" si="4"/>
        <v>0</v>
      </c>
      <c r="AA15" s="8"/>
      <c r="AJ15" s="4"/>
    </row>
    <row r="16" spans="1:40" x14ac:dyDescent="0.25">
      <c r="A16">
        <v>15</v>
      </c>
      <c r="B16">
        <v>9</v>
      </c>
      <c r="C16" t="s">
        <v>64</v>
      </c>
      <c r="D16" s="16" t="s">
        <v>714</v>
      </c>
      <c r="E16" s="16" t="s">
        <v>713</v>
      </c>
      <c r="F16">
        <v>3.71</v>
      </c>
      <c r="G16" t="s">
        <v>44</v>
      </c>
      <c r="H16">
        <v>0</v>
      </c>
      <c r="I16">
        <v>8.5500000000000007</v>
      </c>
      <c r="L16">
        <f>Constants!$B$2</f>
        <v>2.8</v>
      </c>
      <c r="M16" t="str">
        <f t="shared" si="0"/>
        <v>N/A</v>
      </c>
      <c r="N16">
        <f>P16*Constants!$E$2</f>
        <v>0</v>
      </c>
      <c r="P16">
        <f t="shared" si="1"/>
        <v>0</v>
      </c>
      <c r="Q16">
        <f>P16*Constants!$B$3</f>
        <v>0</v>
      </c>
      <c r="R16">
        <f>IF(Q16-N16&lt;=0, 0, Q16-N16)</f>
        <v>0</v>
      </c>
      <c r="S16">
        <f t="shared" si="2"/>
        <v>8.5500000000000007</v>
      </c>
      <c r="T16">
        <f>S16*Constants!$B$2</f>
        <v>23.94</v>
      </c>
      <c r="V16">
        <f t="shared" si="3"/>
        <v>0</v>
      </c>
      <c r="W16">
        <f t="shared" si="4"/>
        <v>0</v>
      </c>
      <c r="AA16" s="8"/>
      <c r="AJ16" s="4"/>
    </row>
    <row r="17" spans="1:36" x14ac:dyDescent="0.25">
      <c r="A17">
        <v>16</v>
      </c>
      <c r="B17">
        <v>9</v>
      </c>
      <c r="C17" t="s">
        <v>49</v>
      </c>
      <c r="D17" s="16" t="s">
        <v>715</v>
      </c>
      <c r="F17">
        <v>20.98</v>
      </c>
      <c r="G17">
        <v>270</v>
      </c>
      <c r="H17">
        <v>3.6</v>
      </c>
      <c r="I17">
        <v>21.76</v>
      </c>
      <c r="L17">
        <f>Constants!$B$2</f>
        <v>2.8</v>
      </c>
      <c r="M17">
        <f t="shared" si="0"/>
        <v>270</v>
      </c>
      <c r="N17">
        <f>P17*Constants!$E$2</f>
        <v>6.12</v>
      </c>
      <c r="P17">
        <f t="shared" si="1"/>
        <v>3.6</v>
      </c>
      <c r="Q17">
        <f>P17*Constants!$B$3</f>
        <v>15.119999999999997</v>
      </c>
      <c r="R17">
        <f t="shared" ref="R17" si="8">IF(Q17-N17&lt;=0, 0, Q17-N17)</f>
        <v>8.9999999999999964</v>
      </c>
      <c r="S17">
        <f t="shared" si="2"/>
        <v>18.16</v>
      </c>
      <c r="T17">
        <f>S17*Constants!$B$2</f>
        <v>50.847999999999999</v>
      </c>
      <c r="V17">
        <f t="shared" si="3"/>
        <v>0</v>
      </c>
      <c r="W17">
        <f t="shared" si="4"/>
        <v>0</v>
      </c>
      <c r="AA17" s="8"/>
      <c r="AJ17" s="4"/>
    </row>
    <row r="18" spans="1:36" x14ac:dyDescent="0.25">
      <c r="A18">
        <v>17</v>
      </c>
      <c r="B18">
        <v>9</v>
      </c>
      <c r="C18" t="s">
        <v>64</v>
      </c>
      <c r="D18" s="16" t="s">
        <v>716</v>
      </c>
      <c r="E18" s="16" t="s">
        <v>715</v>
      </c>
      <c r="F18">
        <v>3.71</v>
      </c>
      <c r="G18" t="s">
        <v>44</v>
      </c>
      <c r="H18">
        <v>0</v>
      </c>
      <c r="I18">
        <v>8.5500000000000007</v>
      </c>
      <c r="L18">
        <f>Constants!$B$2</f>
        <v>2.8</v>
      </c>
      <c r="M18" t="str">
        <f t="shared" si="0"/>
        <v>N/A</v>
      </c>
      <c r="N18">
        <f>P18*Constants!$E$2</f>
        <v>0</v>
      </c>
      <c r="P18">
        <f t="shared" si="1"/>
        <v>0</v>
      </c>
      <c r="Q18">
        <f>P18*Constants!$B$3</f>
        <v>0</v>
      </c>
      <c r="R18">
        <f>IF(Q18-N18&lt;=0, 0, Q18-N18)</f>
        <v>0</v>
      </c>
      <c r="S18">
        <f t="shared" si="2"/>
        <v>8.5500000000000007</v>
      </c>
      <c r="T18">
        <f>S18*Constants!$B$2</f>
        <v>23.94</v>
      </c>
      <c r="V18">
        <f t="shared" si="3"/>
        <v>0</v>
      </c>
      <c r="W18">
        <f t="shared" si="4"/>
        <v>0</v>
      </c>
      <c r="AA18" s="8"/>
      <c r="AJ18" s="4"/>
    </row>
    <row r="19" spans="1:36" x14ac:dyDescent="0.25">
      <c r="A19">
        <v>18</v>
      </c>
      <c r="B19">
        <v>9</v>
      </c>
      <c r="C19" t="s">
        <v>49</v>
      </c>
      <c r="D19" s="16" t="s">
        <v>717</v>
      </c>
      <c r="F19">
        <v>20.98</v>
      </c>
      <c r="G19">
        <v>270</v>
      </c>
      <c r="H19">
        <v>6.9</v>
      </c>
      <c r="I19">
        <v>21.76</v>
      </c>
      <c r="L19">
        <f>Constants!$B$2</f>
        <v>2.8</v>
      </c>
      <c r="M19">
        <f t="shared" si="0"/>
        <v>270</v>
      </c>
      <c r="N19">
        <f>P19*Constants!$E$2</f>
        <v>11.73</v>
      </c>
      <c r="P19">
        <f t="shared" si="1"/>
        <v>6.9</v>
      </c>
      <c r="Q19">
        <f>P19*Constants!$B$3</f>
        <v>28.979999999999997</v>
      </c>
      <c r="R19">
        <f t="shared" ref="R19" si="9">IF(Q19-N19&lt;=0, 0, Q19-N19)</f>
        <v>17.249999999999996</v>
      </c>
      <c r="S19">
        <f t="shared" si="2"/>
        <v>14.860000000000001</v>
      </c>
      <c r="T19">
        <f>S19*Constants!$B$2</f>
        <v>41.608000000000004</v>
      </c>
      <c r="V19">
        <f t="shared" si="3"/>
        <v>0</v>
      </c>
      <c r="W19">
        <f t="shared" si="4"/>
        <v>0</v>
      </c>
      <c r="AA19" s="8"/>
      <c r="AJ19" s="4"/>
    </row>
    <row r="20" spans="1:36" x14ac:dyDescent="0.25">
      <c r="A20">
        <v>19</v>
      </c>
      <c r="B20">
        <v>9</v>
      </c>
      <c r="C20" t="s">
        <v>64</v>
      </c>
      <c r="D20" s="16" t="s">
        <v>718</v>
      </c>
      <c r="E20" s="16" t="s">
        <v>717</v>
      </c>
      <c r="F20">
        <v>3.71</v>
      </c>
      <c r="G20" t="s">
        <v>44</v>
      </c>
      <c r="H20">
        <v>0</v>
      </c>
      <c r="I20">
        <v>8.5500000000000007</v>
      </c>
      <c r="L20">
        <f>Constants!$B$2</f>
        <v>2.8</v>
      </c>
      <c r="M20" t="str">
        <f t="shared" si="0"/>
        <v>N/A</v>
      </c>
      <c r="N20">
        <f>P20*Constants!$E$2</f>
        <v>0</v>
      </c>
      <c r="P20">
        <f t="shared" si="1"/>
        <v>0</v>
      </c>
      <c r="Q20">
        <f>P20*Constants!$B$3</f>
        <v>0</v>
      </c>
      <c r="R20">
        <f>IF(Q20-N20&lt;=0, 0, Q20-N20)</f>
        <v>0</v>
      </c>
      <c r="S20">
        <f t="shared" si="2"/>
        <v>8.5500000000000007</v>
      </c>
      <c r="T20">
        <f>S20*Constants!$B$2</f>
        <v>23.94</v>
      </c>
      <c r="V20">
        <f t="shared" si="3"/>
        <v>0</v>
      </c>
      <c r="W20">
        <f t="shared" si="4"/>
        <v>0</v>
      </c>
      <c r="AA20" s="8"/>
      <c r="AJ20" s="4"/>
    </row>
    <row r="21" spans="1:36" x14ac:dyDescent="0.25">
      <c r="A21">
        <v>20</v>
      </c>
      <c r="B21">
        <v>9</v>
      </c>
      <c r="C21" t="s">
        <v>62</v>
      </c>
      <c r="D21" s="16" t="s">
        <v>739</v>
      </c>
      <c r="F21">
        <v>20.77</v>
      </c>
      <c r="G21">
        <v>0</v>
      </c>
      <c r="H21">
        <v>4</v>
      </c>
      <c r="I21">
        <f>2*(4+5.3)</f>
        <v>18.600000000000001</v>
      </c>
      <c r="L21">
        <f>Constants!$B$2</f>
        <v>2.8</v>
      </c>
      <c r="M21">
        <f t="shared" si="0"/>
        <v>0</v>
      </c>
      <c r="N21">
        <f>P21*Constants!$E$2</f>
        <v>6.8</v>
      </c>
      <c r="P21">
        <f t="shared" si="1"/>
        <v>4</v>
      </c>
      <c r="Q21">
        <f>P21*Constants!$B$3</f>
        <v>16.799999999999997</v>
      </c>
      <c r="R21">
        <f t="shared" si="5"/>
        <v>9.9999999999999964</v>
      </c>
      <c r="S21">
        <f t="shared" si="2"/>
        <v>14.600000000000001</v>
      </c>
      <c r="T21">
        <f>S21*Constants!$B$2</f>
        <v>40.880000000000003</v>
      </c>
      <c r="V21">
        <f t="shared" si="3"/>
        <v>0</v>
      </c>
      <c r="W21">
        <f t="shared" si="4"/>
        <v>0</v>
      </c>
      <c r="AA21" s="8"/>
      <c r="AJ21" s="4"/>
    </row>
    <row r="22" spans="1:36" x14ac:dyDescent="0.25">
      <c r="A22">
        <v>21</v>
      </c>
      <c r="B22">
        <v>9</v>
      </c>
      <c r="C22" t="s">
        <v>64</v>
      </c>
      <c r="D22" s="16" t="s">
        <v>740</v>
      </c>
      <c r="F22">
        <v>3.63</v>
      </c>
      <c r="G22">
        <v>90</v>
      </c>
      <c r="H22">
        <v>1.4</v>
      </c>
      <c r="I22">
        <f>2*(3.5+1.4)</f>
        <v>9.8000000000000007</v>
      </c>
      <c r="L22">
        <f>Constants!$B$2</f>
        <v>2.8</v>
      </c>
      <c r="M22">
        <f t="shared" si="0"/>
        <v>90</v>
      </c>
      <c r="N22">
        <f>P22*Constants!$E$2</f>
        <v>2.38</v>
      </c>
      <c r="P22">
        <f t="shared" si="1"/>
        <v>1.4</v>
      </c>
      <c r="Q22">
        <f>P22*Constants!$B$3</f>
        <v>5.879999999999999</v>
      </c>
      <c r="R22">
        <f t="shared" si="5"/>
        <v>3.4999999999999991</v>
      </c>
      <c r="S22">
        <f t="shared" si="2"/>
        <v>8.4</v>
      </c>
      <c r="T22">
        <f>S22*Constants!$B$2</f>
        <v>23.52</v>
      </c>
      <c r="V22">
        <f t="shared" si="3"/>
        <v>0</v>
      </c>
      <c r="W22">
        <f t="shared" si="4"/>
        <v>0</v>
      </c>
      <c r="AA22" s="8"/>
      <c r="AJ22" s="4"/>
    </row>
    <row r="23" spans="1:36" x14ac:dyDescent="0.25">
      <c r="A23">
        <v>22</v>
      </c>
      <c r="B23">
        <v>9</v>
      </c>
      <c r="C23" t="s">
        <v>64</v>
      </c>
      <c r="D23" s="16" t="s">
        <v>741</v>
      </c>
      <c r="F23">
        <v>3.92</v>
      </c>
      <c r="G23">
        <v>90</v>
      </c>
      <c r="H23">
        <v>1.4</v>
      </c>
      <c r="I23">
        <f>2*(3.5+1.4)</f>
        <v>9.8000000000000007</v>
      </c>
      <c r="L23">
        <f>Constants!$B$2</f>
        <v>2.8</v>
      </c>
      <c r="M23">
        <f t="shared" si="0"/>
        <v>90</v>
      </c>
      <c r="N23">
        <f>P23*Constants!$E$2</f>
        <v>2.38</v>
      </c>
      <c r="P23">
        <f t="shared" si="1"/>
        <v>1.4</v>
      </c>
      <c r="Q23">
        <f>P23*Constants!$B$3</f>
        <v>5.879999999999999</v>
      </c>
      <c r="R23">
        <f t="shared" si="5"/>
        <v>3.4999999999999991</v>
      </c>
      <c r="S23">
        <f t="shared" si="2"/>
        <v>8.4</v>
      </c>
      <c r="T23">
        <f>S23*Constants!$B$2</f>
        <v>23.52</v>
      </c>
      <c r="V23">
        <f t="shared" si="3"/>
        <v>0</v>
      </c>
      <c r="W23">
        <f t="shared" si="4"/>
        <v>0</v>
      </c>
      <c r="AA23" s="8"/>
      <c r="AJ23" s="4"/>
    </row>
    <row r="24" spans="1:36" x14ac:dyDescent="0.25">
      <c r="A24">
        <v>23</v>
      </c>
      <c r="B24">
        <v>9</v>
      </c>
      <c r="C24" t="s">
        <v>62</v>
      </c>
      <c r="D24" s="16" t="s">
        <v>719</v>
      </c>
      <c r="F24">
        <v>109.92</v>
      </c>
      <c r="G24" t="s">
        <v>44</v>
      </c>
      <c r="H24">
        <v>0</v>
      </c>
      <c r="I24">
        <v>99.11</v>
      </c>
      <c r="L24">
        <f>Constants!$B$2</f>
        <v>2.8</v>
      </c>
      <c r="M24" t="str">
        <f t="shared" si="0"/>
        <v>N/A</v>
      </c>
      <c r="N24">
        <f>P24*Constants!$E$2</f>
        <v>0</v>
      </c>
      <c r="P24">
        <f t="shared" si="1"/>
        <v>0</v>
      </c>
      <c r="Q24">
        <f>P24*Constants!$B$3</f>
        <v>0</v>
      </c>
      <c r="R24">
        <f t="shared" si="5"/>
        <v>0</v>
      </c>
      <c r="S24">
        <f t="shared" si="2"/>
        <v>99.11</v>
      </c>
      <c r="T24">
        <f>S24*Constants!$B$2</f>
        <v>277.50799999999998</v>
      </c>
      <c r="V24">
        <f t="shared" si="3"/>
        <v>0</v>
      </c>
      <c r="W24">
        <f t="shared" si="4"/>
        <v>0</v>
      </c>
      <c r="AA24" s="8"/>
      <c r="AJ24" s="4"/>
    </row>
    <row r="25" spans="1:36" x14ac:dyDescent="0.25">
      <c r="A25">
        <v>24</v>
      </c>
      <c r="B25">
        <v>9</v>
      </c>
      <c r="C25" t="s">
        <v>49</v>
      </c>
      <c r="D25" s="16" t="s">
        <v>720</v>
      </c>
      <c r="F25">
        <v>20.399999999999999</v>
      </c>
      <c r="G25">
        <v>90</v>
      </c>
      <c r="H25">
        <v>6.9</v>
      </c>
      <c r="I25">
        <v>20.84</v>
      </c>
      <c r="L25">
        <f>Constants!$B$2</f>
        <v>2.8</v>
      </c>
      <c r="M25">
        <f t="shared" si="0"/>
        <v>90</v>
      </c>
      <c r="N25">
        <f>P25*Constants!$E$2</f>
        <v>11.73</v>
      </c>
      <c r="P25">
        <f t="shared" si="1"/>
        <v>6.9</v>
      </c>
      <c r="Q25">
        <f>P25*Constants!$B$3</f>
        <v>28.979999999999997</v>
      </c>
      <c r="R25">
        <f t="shared" si="5"/>
        <v>17.249999999999996</v>
      </c>
      <c r="S25">
        <f t="shared" si="2"/>
        <v>13.94</v>
      </c>
      <c r="T25">
        <f>S25*Constants!$B$2</f>
        <v>39.031999999999996</v>
      </c>
      <c r="V25">
        <f t="shared" si="3"/>
        <v>0</v>
      </c>
      <c r="W25">
        <f t="shared" si="4"/>
        <v>0</v>
      </c>
      <c r="AA25" s="8"/>
      <c r="AJ25" s="4"/>
    </row>
    <row r="26" spans="1:36" x14ac:dyDescent="0.25">
      <c r="A26">
        <v>25</v>
      </c>
      <c r="B26">
        <v>9</v>
      </c>
      <c r="C26" t="s">
        <v>64</v>
      </c>
      <c r="D26" s="16" t="s">
        <v>721</v>
      </c>
      <c r="E26" s="16" t="s">
        <v>720</v>
      </c>
      <c r="F26">
        <v>3.71</v>
      </c>
      <c r="G26" t="s">
        <v>44</v>
      </c>
      <c r="H26">
        <v>0</v>
      </c>
      <c r="I26">
        <v>8.5500000000000007</v>
      </c>
      <c r="L26">
        <f>Constants!$B$2</f>
        <v>2.8</v>
      </c>
      <c r="M26" t="str">
        <f t="shared" si="0"/>
        <v>N/A</v>
      </c>
      <c r="N26">
        <f>P26*Constants!$E$2</f>
        <v>0</v>
      </c>
      <c r="P26">
        <f t="shared" si="1"/>
        <v>0</v>
      </c>
      <c r="Q26">
        <f>P26*Constants!$B$3</f>
        <v>0</v>
      </c>
      <c r="R26">
        <f>IF(Q26-N26&lt;=0, 0, Q26-N26)</f>
        <v>0</v>
      </c>
      <c r="S26">
        <f t="shared" si="2"/>
        <v>8.5500000000000007</v>
      </c>
      <c r="T26">
        <f>S26*Constants!$B$2</f>
        <v>23.94</v>
      </c>
      <c r="V26">
        <f t="shared" si="3"/>
        <v>0</v>
      </c>
      <c r="W26">
        <f t="shared" si="4"/>
        <v>0</v>
      </c>
      <c r="AA26" s="8"/>
      <c r="AJ26" s="4"/>
    </row>
    <row r="27" spans="1:36" x14ac:dyDescent="0.25">
      <c r="A27">
        <v>26</v>
      </c>
      <c r="B27">
        <v>9</v>
      </c>
      <c r="C27" t="s">
        <v>49</v>
      </c>
      <c r="D27" s="16" t="s">
        <v>722</v>
      </c>
      <c r="F27">
        <v>20.98</v>
      </c>
      <c r="G27">
        <v>90</v>
      </c>
      <c r="H27">
        <v>3.6</v>
      </c>
      <c r="I27">
        <v>21.76</v>
      </c>
      <c r="L27">
        <f>Constants!$B$2</f>
        <v>2.8</v>
      </c>
      <c r="M27">
        <f t="shared" si="0"/>
        <v>90</v>
      </c>
      <c r="N27">
        <f>P27*Constants!$E$2</f>
        <v>6.12</v>
      </c>
      <c r="P27">
        <f t="shared" si="1"/>
        <v>3.6</v>
      </c>
      <c r="Q27">
        <f>P27*Constants!$B$3</f>
        <v>15.119999999999997</v>
      </c>
      <c r="R27">
        <f t="shared" ref="R27" si="10">IF(Q27-N27&lt;=0, 0, Q27-N27)</f>
        <v>8.9999999999999964</v>
      </c>
      <c r="S27">
        <f t="shared" si="2"/>
        <v>18.16</v>
      </c>
      <c r="T27">
        <f>S27*Constants!$B$2</f>
        <v>50.847999999999999</v>
      </c>
      <c r="V27">
        <f t="shared" si="3"/>
        <v>0</v>
      </c>
      <c r="W27">
        <f t="shared" si="4"/>
        <v>0</v>
      </c>
      <c r="AA27" s="8"/>
      <c r="AJ27" s="4"/>
    </row>
    <row r="28" spans="1:36" x14ac:dyDescent="0.25">
      <c r="A28">
        <v>27</v>
      </c>
      <c r="B28">
        <v>9</v>
      </c>
      <c r="C28" t="s">
        <v>64</v>
      </c>
      <c r="D28" s="16" t="s">
        <v>723</v>
      </c>
      <c r="E28" s="16" t="s">
        <v>722</v>
      </c>
      <c r="F28">
        <v>3.71</v>
      </c>
      <c r="G28" t="s">
        <v>44</v>
      </c>
      <c r="H28">
        <v>0</v>
      </c>
      <c r="I28">
        <v>8.5500000000000007</v>
      </c>
      <c r="L28">
        <f>Constants!$B$2</f>
        <v>2.8</v>
      </c>
      <c r="M28" t="str">
        <f t="shared" si="0"/>
        <v>N/A</v>
      </c>
      <c r="N28">
        <f>P28*Constants!$E$2</f>
        <v>0</v>
      </c>
      <c r="P28">
        <f t="shared" si="1"/>
        <v>0</v>
      </c>
      <c r="Q28">
        <f>P28*Constants!$B$3</f>
        <v>0</v>
      </c>
      <c r="R28">
        <f>IF(Q28-N28&lt;=0, 0, Q28-N28)</f>
        <v>0</v>
      </c>
      <c r="S28">
        <f t="shared" si="2"/>
        <v>8.5500000000000007</v>
      </c>
      <c r="T28">
        <f>S28*Constants!$B$2</f>
        <v>23.94</v>
      </c>
      <c r="V28">
        <f t="shared" si="3"/>
        <v>0</v>
      </c>
      <c r="W28">
        <f t="shared" si="4"/>
        <v>0</v>
      </c>
      <c r="AA28" s="8"/>
      <c r="AJ28" s="4"/>
    </row>
    <row r="29" spans="1:36" x14ac:dyDescent="0.25">
      <c r="A29">
        <v>28</v>
      </c>
      <c r="B29">
        <v>9</v>
      </c>
      <c r="C29" t="s">
        <v>49</v>
      </c>
      <c r="D29" s="16" t="s">
        <v>724</v>
      </c>
      <c r="F29">
        <v>20.98</v>
      </c>
      <c r="G29">
        <v>90</v>
      </c>
      <c r="H29">
        <v>3.6</v>
      </c>
      <c r="I29">
        <v>21.76</v>
      </c>
      <c r="L29">
        <f>Constants!$B$2</f>
        <v>2.8</v>
      </c>
      <c r="M29">
        <f t="shared" si="0"/>
        <v>90</v>
      </c>
      <c r="N29">
        <f>P29*Constants!$E$2</f>
        <v>6.12</v>
      </c>
      <c r="P29">
        <f t="shared" si="1"/>
        <v>3.6</v>
      </c>
      <c r="Q29">
        <f>P29*Constants!$B$3</f>
        <v>15.119999999999997</v>
      </c>
      <c r="R29">
        <f t="shared" ref="R29" si="11">IF(Q29-N29&lt;=0, 0, Q29-N29)</f>
        <v>8.9999999999999964</v>
      </c>
      <c r="S29">
        <f t="shared" si="2"/>
        <v>18.16</v>
      </c>
      <c r="T29">
        <f>S29*Constants!$B$2</f>
        <v>50.847999999999999</v>
      </c>
      <c r="V29">
        <f t="shared" si="3"/>
        <v>0</v>
      </c>
      <c r="W29">
        <f t="shared" si="4"/>
        <v>0</v>
      </c>
      <c r="AA29" s="8"/>
      <c r="AJ29" s="4"/>
    </row>
    <row r="30" spans="1:36" x14ac:dyDescent="0.25">
      <c r="A30">
        <v>29</v>
      </c>
      <c r="B30">
        <v>9</v>
      </c>
      <c r="C30" t="s">
        <v>64</v>
      </c>
      <c r="D30" s="16" t="s">
        <v>725</v>
      </c>
      <c r="E30" s="16" t="s">
        <v>724</v>
      </c>
      <c r="F30">
        <v>3.71</v>
      </c>
      <c r="G30" t="s">
        <v>44</v>
      </c>
      <c r="H30">
        <v>0</v>
      </c>
      <c r="I30">
        <v>8.5500000000000007</v>
      </c>
      <c r="L30">
        <f>Constants!$B$2</f>
        <v>2.8</v>
      </c>
      <c r="M30" t="str">
        <f t="shared" si="0"/>
        <v>N/A</v>
      </c>
      <c r="N30">
        <f>P30*Constants!$E$2</f>
        <v>0</v>
      </c>
      <c r="P30">
        <f t="shared" si="1"/>
        <v>0</v>
      </c>
      <c r="Q30">
        <f>P30*Constants!$B$3</f>
        <v>0</v>
      </c>
      <c r="R30">
        <f>IF(Q30-N30&lt;=0, 0, Q30-N30)</f>
        <v>0</v>
      </c>
      <c r="S30">
        <f t="shared" si="2"/>
        <v>8.5500000000000007</v>
      </c>
      <c r="T30">
        <f>S30*Constants!$B$2</f>
        <v>23.94</v>
      </c>
      <c r="V30">
        <f t="shared" si="3"/>
        <v>0</v>
      </c>
      <c r="W30">
        <f t="shared" si="4"/>
        <v>0</v>
      </c>
      <c r="AA30" s="8"/>
      <c r="AJ30" s="4"/>
    </row>
    <row r="31" spans="1:36" x14ac:dyDescent="0.25">
      <c r="A31">
        <v>30</v>
      </c>
      <c r="B31">
        <v>9</v>
      </c>
      <c r="C31" t="s">
        <v>49</v>
      </c>
      <c r="D31" s="16" t="s">
        <v>726</v>
      </c>
      <c r="F31">
        <v>19.29</v>
      </c>
      <c r="G31">
        <v>90</v>
      </c>
      <c r="H31">
        <v>3.6</v>
      </c>
      <c r="I31">
        <v>19.66</v>
      </c>
      <c r="L31">
        <f>Constants!$B$2</f>
        <v>2.8</v>
      </c>
      <c r="M31">
        <f t="shared" si="0"/>
        <v>90</v>
      </c>
      <c r="N31">
        <f>P31*Constants!$E$2</f>
        <v>6.12</v>
      </c>
      <c r="P31">
        <f t="shared" si="1"/>
        <v>3.6</v>
      </c>
      <c r="Q31">
        <f>P31*Constants!$B$3</f>
        <v>15.119999999999997</v>
      </c>
      <c r="R31">
        <f t="shared" ref="R31" si="12">IF(Q31-N31&lt;=0, 0, Q31-N31)</f>
        <v>8.9999999999999964</v>
      </c>
      <c r="S31">
        <f t="shared" si="2"/>
        <v>16.059999999999999</v>
      </c>
      <c r="T31">
        <f>S31*Constants!$B$2</f>
        <v>44.967999999999996</v>
      </c>
      <c r="V31">
        <f t="shared" si="3"/>
        <v>0</v>
      </c>
      <c r="W31">
        <f t="shared" si="4"/>
        <v>0</v>
      </c>
      <c r="AA31" s="8"/>
      <c r="AJ31" s="4"/>
    </row>
    <row r="32" spans="1:36" x14ac:dyDescent="0.25">
      <c r="A32">
        <v>31</v>
      </c>
      <c r="B32">
        <v>9</v>
      </c>
      <c r="C32" t="s">
        <v>64</v>
      </c>
      <c r="D32" s="16" t="s">
        <v>727</v>
      </c>
      <c r="E32" s="16" t="s">
        <v>726</v>
      </c>
      <c r="F32">
        <v>3.71</v>
      </c>
      <c r="G32" t="s">
        <v>44</v>
      </c>
      <c r="H32">
        <v>0</v>
      </c>
      <c r="I32">
        <v>8.5500000000000007</v>
      </c>
      <c r="L32">
        <f>Constants!$B$2</f>
        <v>2.8</v>
      </c>
      <c r="M32" t="str">
        <f t="shared" si="0"/>
        <v>N/A</v>
      </c>
      <c r="N32">
        <f>P32*Constants!$E$2</f>
        <v>0</v>
      </c>
      <c r="P32">
        <f t="shared" si="1"/>
        <v>0</v>
      </c>
      <c r="Q32">
        <f>P32*Constants!$B$3</f>
        <v>0</v>
      </c>
      <c r="R32">
        <f>IF(Q32-N32&lt;=0, 0, Q32-N32)</f>
        <v>0</v>
      </c>
      <c r="S32">
        <f t="shared" si="2"/>
        <v>8.5500000000000007</v>
      </c>
      <c r="T32">
        <f>S32*Constants!$B$2</f>
        <v>23.94</v>
      </c>
      <c r="V32">
        <f t="shared" si="3"/>
        <v>0</v>
      </c>
      <c r="W32">
        <f t="shared" si="4"/>
        <v>0</v>
      </c>
      <c r="AA32" s="8"/>
      <c r="AJ32" s="4"/>
    </row>
    <row r="33" spans="1:36" x14ac:dyDescent="0.25">
      <c r="A33">
        <v>32</v>
      </c>
      <c r="B33">
        <v>9</v>
      </c>
      <c r="C33" t="s">
        <v>55</v>
      </c>
      <c r="D33" s="16" t="s">
        <v>728</v>
      </c>
      <c r="E33" s="16"/>
      <c r="F33">
        <v>14.01</v>
      </c>
      <c r="G33">
        <v>90</v>
      </c>
      <c r="H33">
        <v>2.4</v>
      </c>
      <c r="I33">
        <v>17.559999999999999</v>
      </c>
      <c r="L33">
        <f>Constants!$B$2</f>
        <v>2.8</v>
      </c>
      <c r="M33">
        <f t="shared" si="0"/>
        <v>90</v>
      </c>
      <c r="N33">
        <f>P33*Constants!$E$2</f>
        <v>4.08</v>
      </c>
      <c r="P33">
        <f t="shared" si="1"/>
        <v>2.4</v>
      </c>
      <c r="Q33">
        <f>P33*Constants!$B$3</f>
        <v>10.079999999999998</v>
      </c>
      <c r="R33">
        <f t="shared" si="5"/>
        <v>5.9999999999999982</v>
      </c>
      <c r="S33">
        <f t="shared" si="2"/>
        <v>15.159999999999998</v>
      </c>
      <c r="T33">
        <f>S33*Constants!$B$2</f>
        <v>42.447999999999993</v>
      </c>
      <c r="V33">
        <f t="shared" si="3"/>
        <v>0</v>
      </c>
      <c r="W33">
        <f t="shared" si="4"/>
        <v>0</v>
      </c>
      <c r="AA33" s="8"/>
      <c r="AJ33" s="4"/>
    </row>
    <row r="34" spans="1:36" x14ac:dyDescent="0.25">
      <c r="A34">
        <v>33</v>
      </c>
      <c r="B34">
        <v>9</v>
      </c>
      <c r="C34" t="s">
        <v>55</v>
      </c>
      <c r="D34" s="16" t="s">
        <v>729</v>
      </c>
      <c r="E34" s="16"/>
      <c r="F34">
        <v>8.09</v>
      </c>
      <c r="G34">
        <v>90</v>
      </c>
      <c r="H34">
        <v>1.2</v>
      </c>
      <c r="I34">
        <v>17.559999999999999</v>
      </c>
      <c r="L34">
        <f>Constants!$B$2</f>
        <v>2.8</v>
      </c>
      <c r="M34">
        <f t="shared" si="0"/>
        <v>90</v>
      </c>
      <c r="N34">
        <f>P34*Constants!$E$2</f>
        <v>2.04</v>
      </c>
      <c r="P34">
        <f t="shared" si="1"/>
        <v>1.2</v>
      </c>
      <c r="Q34">
        <f>P34*Constants!$B$3</f>
        <v>5.0399999999999991</v>
      </c>
      <c r="R34">
        <f t="shared" si="5"/>
        <v>2.9999999999999991</v>
      </c>
      <c r="S34">
        <f t="shared" si="2"/>
        <v>16.36</v>
      </c>
      <c r="T34">
        <f>S34*Constants!$B$2</f>
        <v>45.807999999999993</v>
      </c>
      <c r="V34">
        <f t="shared" si="3"/>
        <v>0</v>
      </c>
      <c r="W34">
        <f t="shared" si="4"/>
        <v>0</v>
      </c>
      <c r="AA34" s="8"/>
      <c r="AJ34" s="4"/>
    </row>
    <row r="35" spans="1:36" x14ac:dyDescent="0.25">
      <c r="A35">
        <v>34</v>
      </c>
      <c r="B35">
        <v>9</v>
      </c>
      <c r="C35" t="s">
        <v>59</v>
      </c>
      <c r="D35" s="16" t="s">
        <v>730</v>
      </c>
      <c r="F35">
        <v>27.2</v>
      </c>
      <c r="G35">
        <v>90</v>
      </c>
      <c r="H35">
        <v>4.8</v>
      </c>
      <c r="I35">
        <v>25.76</v>
      </c>
      <c r="L35">
        <f>Constants!$B$2</f>
        <v>2.8</v>
      </c>
      <c r="M35">
        <f t="shared" si="0"/>
        <v>90</v>
      </c>
      <c r="N35">
        <f>P35*Constants!$E$2</f>
        <v>8.16</v>
      </c>
      <c r="P35">
        <f t="shared" si="1"/>
        <v>4.8</v>
      </c>
      <c r="Q35">
        <f>P35*Constants!$B$3</f>
        <v>20.159999999999997</v>
      </c>
      <c r="R35">
        <f t="shared" si="5"/>
        <v>11.999999999999996</v>
      </c>
      <c r="S35">
        <f t="shared" si="2"/>
        <v>20.96</v>
      </c>
      <c r="T35">
        <f>S35*Constants!$B$2</f>
        <v>58.687999999999995</v>
      </c>
      <c r="V35">
        <f t="shared" si="3"/>
        <v>0</v>
      </c>
      <c r="W35">
        <f t="shared" si="4"/>
        <v>0</v>
      </c>
      <c r="AA35" s="8"/>
      <c r="AJ35" s="4"/>
    </row>
    <row r="36" spans="1:36" x14ac:dyDescent="0.25">
      <c r="A36">
        <v>35</v>
      </c>
      <c r="B36">
        <v>9</v>
      </c>
      <c r="C36" t="s">
        <v>66</v>
      </c>
      <c r="D36" s="16" t="s">
        <v>731</v>
      </c>
      <c r="F36">
        <v>6.12</v>
      </c>
      <c r="G36" t="s">
        <v>44</v>
      </c>
      <c r="H36">
        <v>0</v>
      </c>
      <c r="I36">
        <v>10.14</v>
      </c>
      <c r="L36">
        <f>Constants!$B$2</f>
        <v>2.8</v>
      </c>
      <c r="M36" t="str">
        <f t="shared" si="0"/>
        <v>N/A</v>
      </c>
      <c r="N36">
        <f>P36*Constants!$E$2</f>
        <v>0</v>
      </c>
      <c r="P36">
        <f t="shared" si="1"/>
        <v>0</v>
      </c>
      <c r="Q36">
        <f>P36*Constants!$B$3</f>
        <v>0</v>
      </c>
      <c r="R36">
        <f t="shared" si="5"/>
        <v>0</v>
      </c>
      <c r="S36">
        <f t="shared" si="2"/>
        <v>10.14</v>
      </c>
      <c r="T36">
        <f>S36*Constants!$B$2</f>
        <v>28.391999999999999</v>
      </c>
      <c r="V36">
        <f t="shared" si="3"/>
        <v>0</v>
      </c>
      <c r="W36">
        <f t="shared" si="4"/>
        <v>0</v>
      </c>
      <c r="AA36" s="8"/>
      <c r="AJ36" s="4"/>
    </row>
    <row r="37" spans="1:36" x14ac:dyDescent="0.25">
      <c r="A37">
        <v>36</v>
      </c>
      <c r="B37">
        <v>9</v>
      </c>
      <c r="C37" t="s">
        <v>49</v>
      </c>
      <c r="D37" s="16" t="s">
        <v>732</v>
      </c>
      <c r="F37">
        <v>20.98</v>
      </c>
      <c r="G37">
        <v>90</v>
      </c>
      <c r="H37">
        <v>3.6</v>
      </c>
      <c r="I37">
        <v>21.76</v>
      </c>
      <c r="L37">
        <f>Constants!$B$2</f>
        <v>2.8</v>
      </c>
      <c r="M37">
        <f t="shared" si="0"/>
        <v>90</v>
      </c>
      <c r="N37">
        <f>P37*Constants!$E$2</f>
        <v>6.12</v>
      </c>
      <c r="P37">
        <f t="shared" si="1"/>
        <v>3.6</v>
      </c>
      <c r="Q37">
        <f>P37*Constants!$B$3</f>
        <v>15.119999999999997</v>
      </c>
      <c r="R37">
        <f t="shared" si="5"/>
        <v>8.9999999999999964</v>
      </c>
      <c r="S37">
        <f t="shared" si="2"/>
        <v>18.16</v>
      </c>
      <c r="T37">
        <f>S37*Constants!$B$2</f>
        <v>50.847999999999999</v>
      </c>
      <c r="V37">
        <f t="shared" si="3"/>
        <v>0</v>
      </c>
      <c r="W37">
        <f t="shared" si="4"/>
        <v>0</v>
      </c>
      <c r="AA37" s="8"/>
      <c r="AJ37" s="4"/>
    </row>
    <row r="38" spans="1:36" x14ac:dyDescent="0.25">
      <c r="A38">
        <v>37</v>
      </c>
      <c r="B38">
        <v>9</v>
      </c>
      <c r="C38" t="s">
        <v>64</v>
      </c>
      <c r="D38" s="16" t="s">
        <v>733</v>
      </c>
      <c r="E38" s="16" t="s">
        <v>732</v>
      </c>
      <c r="F38">
        <v>3.71</v>
      </c>
      <c r="G38" t="s">
        <v>44</v>
      </c>
      <c r="H38">
        <v>0</v>
      </c>
      <c r="I38">
        <v>8.5500000000000007</v>
      </c>
      <c r="L38">
        <f>Constants!$B$2</f>
        <v>2.8</v>
      </c>
      <c r="M38" t="str">
        <f t="shared" si="0"/>
        <v>N/A</v>
      </c>
      <c r="N38">
        <f>P38*Constants!$E$2</f>
        <v>0</v>
      </c>
      <c r="P38">
        <f t="shared" si="1"/>
        <v>0</v>
      </c>
      <c r="Q38">
        <f>P38*Constants!$B$3</f>
        <v>0</v>
      </c>
      <c r="R38">
        <f>IF(Q38-N38&lt;=0, 0, Q38-N38)</f>
        <v>0</v>
      </c>
      <c r="S38">
        <f t="shared" si="2"/>
        <v>8.5500000000000007</v>
      </c>
      <c r="T38">
        <f>S38*Constants!$B$2</f>
        <v>23.94</v>
      </c>
      <c r="V38">
        <f t="shared" si="3"/>
        <v>0</v>
      </c>
      <c r="W38">
        <f t="shared" si="4"/>
        <v>0</v>
      </c>
      <c r="AA38" s="8"/>
      <c r="AJ38" s="4"/>
    </row>
    <row r="39" spans="1:36" x14ac:dyDescent="0.25">
      <c r="A39">
        <v>38</v>
      </c>
      <c r="B39">
        <v>9</v>
      </c>
      <c r="C39" t="s">
        <v>49</v>
      </c>
      <c r="D39" s="16" t="s">
        <v>734</v>
      </c>
      <c r="F39">
        <v>20.98</v>
      </c>
      <c r="G39">
        <v>90</v>
      </c>
      <c r="H39">
        <v>3.6</v>
      </c>
      <c r="I39">
        <v>21.76</v>
      </c>
      <c r="L39">
        <f>Constants!$B$2</f>
        <v>2.8</v>
      </c>
      <c r="M39">
        <f t="shared" si="0"/>
        <v>90</v>
      </c>
      <c r="N39">
        <f>P39*Constants!$E$2</f>
        <v>6.12</v>
      </c>
      <c r="P39">
        <f t="shared" si="1"/>
        <v>3.6</v>
      </c>
      <c r="Q39">
        <f>P39*Constants!$B$3</f>
        <v>15.119999999999997</v>
      </c>
      <c r="R39">
        <f t="shared" ref="R39" si="13">IF(Q39-N39&lt;=0, 0, Q39-N39)</f>
        <v>8.9999999999999964</v>
      </c>
      <c r="S39">
        <f t="shared" si="2"/>
        <v>18.16</v>
      </c>
      <c r="T39">
        <f>S39*Constants!$B$2</f>
        <v>50.847999999999999</v>
      </c>
      <c r="V39">
        <f t="shared" si="3"/>
        <v>0</v>
      </c>
      <c r="W39">
        <f t="shared" si="4"/>
        <v>0</v>
      </c>
      <c r="AA39" s="8"/>
      <c r="AJ39" s="4"/>
    </row>
    <row r="40" spans="1:36" x14ac:dyDescent="0.25">
      <c r="A40">
        <v>39</v>
      </c>
      <c r="B40">
        <v>9</v>
      </c>
      <c r="C40" t="s">
        <v>64</v>
      </c>
      <c r="D40" s="16" t="s">
        <v>735</v>
      </c>
      <c r="E40" s="16" t="s">
        <v>734</v>
      </c>
      <c r="F40">
        <v>3.71</v>
      </c>
      <c r="G40" t="s">
        <v>44</v>
      </c>
      <c r="H40">
        <v>0</v>
      </c>
      <c r="I40">
        <v>8.5500000000000007</v>
      </c>
      <c r="L40">
        <f>Constants!$B$2</f>
        <v>2.8</v>
      </c>
      <c r="M40" t="str">
        <f t="shared" si="0"/>
        <v>N/A</v>
      </c>
      <c r="N40">
        <f>P40*Constants!$E$2</f>
        <v>0</v>
      </c>
      <c r="P40">
        <f t="shared" si="1"/>
        <v>0</v>
      </c>
      <c r="Q40">
        <f>P40*Constants!$B$3</f>
        <v>0</v>
      </c>
      <c r="R40">
        <f>IF(Q40-N40&lt;=0, 0, Q40-N40)</f>
        <v>0</v>
      </c>
      <c r="S40">
        <f t="shared" si="2"/>
        <v>8.5500000000000007</v>
      </c>
      <c r="T40">
        <f>S40*Constants!$B$2</f>
        <v>23.94</v>
      </c>
      <c r="V40">
        <f t="shared" si="3"/>
        <v>0</v>
      </c>
      <c r="W40">
        <f t="shared" si="4"/>
        <v>0</v>
      </c>
      <c r="AA40" s="8"/>
      <c r="AJ40" s="4"/>
    </row>
    <row r="41" spans="1:36" x14ac:dyDescent="0.25">
      <c r="A41">
        <v>40</v>
      </c>
      <c r="B41">
        <v>9</v>
      </c>
      <c r="C41" t="s">
        <v>49</v>
      </c>
      <c r="D41" s="16" t="s">
        <v>736</v>
      </c>
      <c r="F41">
        <v>20.61</v>
      </c>
      <c r="G41">
        <v>90</v>
      </c>
      <c r="H41">
        <v>3.6</v>
      </c>
      <c r="I41">
        <v>21.66</v>
      </c>
      <c r="L41">
        <f>Constants!$B$2</f>
        <v>2.8</v>
      </c>
      <c r="M41">
        <f t="shared" si="0"/>
        <v>90</v>
      </c>
      <c r="N41">
        <f>P41*Constants!$E$2</f>
        <v>6.12</v>
      </c>
      <c r="P41">
        <f t="shared" si="1"/>
        <v>3.6</v>
      </c>
      <c r="Q41">
        <f>P41*Constants!$B$3</f>
        <v>15.119999999999997</v>
      </c>
      <c r="R41">
        <f t="shared" ref="R41" si="14">IF(Q41-N41&lt;=0, 0, Q41-N41)</f>
        <v>8.9999999999999964</v>
      </c>
      <c r="S41">
        <f t="shared" si="2"/>
        <v>18.059999999999999</v>
      </c>
      <c r="T41">
        <f>S41*Constants!$B$2</f>
        <v>50.567999999999991</v>
      </c>
      <c r="V41">
        <f t="shared" si="3"/>
        <v>0</v>
      </c>
      <c r="W41">
        <f t="shared" si="4"/>
        <v>0</v>
      </c>
      <c r="AA41" s="8"/>
      <c r="AJ41" s="4"/>
    </row>
    <row r="42" spans="1:36" x14ac:dyDescent="0.25">
      <c r="A42">
        <v>41</v>
      </c>
      <c r="B42">
        <v>9</v>
      </c>
      <c r="C42" t="s">
        <v>64</v>
      </c>
      <c r="D42" s="16" t="s">
        <v>737</v>
      </c>
      <c r="E42" s="16" t="s">
        <v>736</v>
      </c>
      <c r="F42">
        <v>3.71</v>
      </c>
      <c r="G42" t="s">
        <v>44</v>
      </c>
      <c r="H42">
        <v>0</v>
      </c>
      <c r="I42">
        <v>8.5500000000000007</v>
      </c>
      <c r="L42">
        <f>Constants!$B$2</f>
        <v>2.8</v>
      </c>
      <c r="M42" t="str">
        <f t="shared" si="0"/>
        <v>N/A</v>
      </c>
      <c r="N42">
        <f>P42*Constants!$E$2</f>
        <v>0</v>
      </c>
      <c r="P42">
        <f t="shared" si="1"/>
        <v>0</v>
      </c>
      <c r="Q42">
        <f>P42*Constants!$B$3</f>
        <v>0</v>
      </c>
      <c r="R42">
        <f>IF(Q42-N42&lt;=0, 0, Q42-N42)</f>
        <v>0</v>
      </c>
      <c r="S42">
        <f t="shared" si="2"/>
        <v>8.5500000000000007</v>
      </c>
      <c r="T42">
        <f>S42*Constants!$B$2</f>
        <v>23.94</v>
      </c>
      <c r="V42">
        <f t="shared" si="3"/>
        <v>0</v>
      </c>
      <c r="W42">
        <f t="shared" si="4"/>
        <v>0</v>
      </c>
      <c r="AA42" s="8"/>
      <c r="AJ42" s="4"/>
    </row>
    <row r="43" spans="1:36" x14ac:dyDescent="0.25">
      <c r="A43">
        <v>42</v>
      </c>
      <c r="B43">
        <v>9</v>
      </c>
      <c r="C43" t="s">
        <v>45</v>
      </c>
      <c r="D43" s="16" t="s">
        <v>738</v>
      </c>
      <c r="F43">
        <v>18.66</v>
      </c>
      <c r="G43" t="s">
        <v>44</v>
      </c>
      <c r="H43">
        <v>0</v>
      </c>
      <c r="I43">
        <v>17.309999999999999</v>
      </c>
      <c r="L43">
        <f>Constants!$B$2</f>
        <v>2.8</v>
      </c>
      <c r="M43" t="str">
        <f t="shared" si="0"/>
        <v>N/A</v>
      </c>
      <c r="N43">
        <f>P43*Constants!$E$2</f>
        <v>0</v>
      </c>
      <c r="P43">
        <f t="shared" si="1"/>
        <v>0</v>
      </c>
      <c r="Q43">
        <f>P43*Constants!$B$3</f>
        <v>0</v>
      </c>
      <c r="R43">
        <f t="shared" ref="R43" si="15">IF(Q43-N43&lt;=0, 0, Q43-N43)</f>
        <v>0</v>
      </c>
      <c r="S43">
        <f t="shared" si="2"/>
        <v>17.309999999999999</v>
      </c>
      <c r="T43">
        <f>S43*Constants!$B$2</f>
        <v>48.467999999999996</v>
      </c>
      <c r="V43">
        <f t="shared" si="3"/>
        <v>0</v>
      </c>
      <c r="W43">
        <f t="shared" si="4"/>
        <v>0</v>
      </c>
      <c r="AA43" s="8"/>
      <c r="AJ43" s="4"/>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4"/>
    </row>
    <row r="442" spans="4:4" x14ac:dyDescent="0.25">
      <c r="D442" s="14"/>
    </row>
    <row r="443" spans="4:4" x14ac:dyDescent="0.25">
      <c r="D443" s="13"/>
    </row>
    <row r="444" spans="4:4" x14ac:dyDescent="0.25">
      <c r="D444" s="13"/>
    </row>
    <row r="445" spans="4:4" x14ac:dyDescent="0.25">
      <c r="D445" s="13"/>
    </row>
    <row r="446" spans="4:4" x14ac:dyDescent="0.25">
      <c r="D446" s="13"/>
    </row>
    <row r="447" spans="4:4" x14ac:dyDescent="0.25">
      <c r="D447" s="13"/>
    </row>
    <row r="448" spans="4:4" x14ac:dyDescent="0.25">
      <c r="D448" s="13"/>
    </row>
    <row r="449" spans="4:4" x14ac:dyDescent="0.25">
      <c r="D449" s="13"/>
    </row>
    <row r="450" spans="4:4" x14ac:dyDescent="0.25">
      <c r="D450" s="13"/>
    </row>
  </sheetData>
  <pageMargins left="0.7" right="0.7" top="0.78740157499999996" bottom="0.78740157499999996"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3"/>
  <sheetViews>
    <sheetView zoomScaleNormal="100" workbookViewId="0">
      <pane xSplit="4" ySplit="1" topLeftCell="H2" activePane="bottomRight" state="frozen"/>
      <selection pane="topRight" activeCell="F1" sqref="F1"/>
      <selection pane="bottomLeft" activeCell="A2" sqref="A2"/>
      <selection pane="bottomRight" activeCell="C22" sqref="C22"/>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59</v>
      </c>
      <c r="D2" s="16" t="s">
        <v>742</v>
      </c>
      <c r="F2">
        <v>8.66</v>
      </c>
      <c r="G2" t="s">
        <v>44</v>
      </c>
      <c r="H2">
        <v>0</v>
      </c>
      <c r="I2">
        <f>2*1.2*(2.5+3)</f>
        <v>13.2</v>
      </c>
      <c r="L2">
        <f>Constants!$B$2</f>
        <v>2.8</v>
      </c>
      <c r="M2" t="str">
        <f t="shared" ref="M2:M39" si="0">IF(N2&gt;0,G2,"N/A")</f>
        <v>N/A</v>
      </c>
      <c r="N2">
        <f>P2*Constants!$E$2</f>
        <v>0</v>
      </c>
      <c r="P2">
        <f>H2</f>
        <v>0</v>
      </c>
      <c r="Q2">
        <f>P2*Constants!$B$3</f>
        <v>0</v>
      </c>
      <c r="R2">
        <f>IF(Q2-N2&lt;=0, 0, Q2-N2)</f>
        <v>0</v>
      </c>
      <c r="S2">
        <f>I2-P2</f>
        <v>13.2</v>
      </c>
      <c r="T2">
        <f>S2*Constants!$B$2</f>
        <v>36.959999999999994</v>
      </c>
      <c r="V2">
        <f>IF(B2="E",1,0)</f>
        <v>0</v>
      </c>
      <c r="W2">
        <f>IF(B2=10,1,0)</f>
        <v>0</v>
      </c>
      <c r="AA2" s="8"/>
      <c r="AJ2" s="4"/>
    </row>
    <row r="3" spans="1:40" x14ac:dyDescent="0.25">
      <c r="A3">
        <v>2</v>
      </c>
      <c r="B3">
        <v>9</v>
      </c>
      <c r="C3" t="s">
        <v>45</v>
      </c>
      <c r="D3" s="16" t="s">
        <v>758</v>
      </c>
      <c r="F3">
        <v>6.49</v>
      </c>
      <c r="G3" t="s">
        <v>44</v>
      </c>
      <c r="H3">
        <v>0</v>
      </c>
      <c r="I3">
        <f>2*1.2*(1.5+3)</f>
        <v>10.799999999999999</v>
      </c>
      <c r="L3">
        <f>Constants!$B$2</f>
        <v>2.8</v>
      </c>
      <c r="M3" t="str">
        <f t="shared" ref="M3" si="1">IF(N3&gt;0,G3,"N/A")</f>
        <v>N/A</v>
      </c>
      <c r="N3">
        <f>P3*Constants!$E$2</f>
        <v>0</v>
      </c>
      <c r="P3">
        <f t="shared" ref="P3" si="2">H3</f>
        <v>0</v>
      </c>
      <c r="Q3">
        <f>P3*Constants!$B$3</f>
        <v>0</v>
      </c>
      <c r="R3">
        <f t="shared" ref="R3" si="3">IF(Q3-N3&lt;=0, 0, Q3-N3)</f>
        <v>0</v>
      </c>
      <c r="S3">
        <f t="shared" ref="S3" si="4">I3-P3</f>
        <v>10.799999999999999</v>
      </c>
      <c r="T3">
        <f>S3*Constants!$B$2</f>
        <v>30.239999999999995</v>
      </c>
      <c r="V3">
        <f t="shared" ref="V3" si="5">IF(B3="E",1,0)</f>
        <v>0</v>
      </c>
      <c r="W3">
        <f t="shared" ref="W3" si="6">IF(B3=10,1,0)</f>
        <v>0</v>
      </c>
      <c r="AA3" s="8"/>
      <c r="AJ3" s="4"/>
    </row>
    <row r="4" spans="1:40" x14ac:dyDescent="0.25">
      <c r="A4">
        <v>3</v>
      </c>
      <c r="B4">
        <v>9</v>
      </c>
      <c r="C4" t="s">
        <v>45</v>
      </c>
      <c r="D4" s="16" t="s">
        <v>743</v>
      </c>
      <c r="F4">
        <v>22.43</v>
      </c>
      <c r="G4" t="s">
        <v>44</v>
      </c>
      <c r="H4">
        <v>0</v>
      </c>
      <c r="I4">
        <f>2*1.2*(2.5+7.5)</f>
        <v>24</v>
      </c>
      <c r="L4">
        <f>Constants!$B$2</f>
        <v>2.8</v>
      </c>
      <c r="M4" t="str">
        <f t="shared" si="0"/>
        <v>N/A</v>
      </c>
      <c r="N4">
        <f>P4*Constants!$E$2</f>
        <v>0</v>
      </c>
      <c r="P4">
        <f t="shared" ref="P4:P39" si="7">H4</f>
        <v>0</v>
      </c>
      <c r="Q4">
        <f>P4*Constants!$B$3</f>
        <v>0</v>
      </c>
      <c r="R4">
        <f>IF(Q4-N4&lt;=0, 0, Q4-N4)</f>
        <v>0</v>
      </c>
      <c r="S4">
        <f t="shared" ref="S4:S39" si="8">I4-P4</f>
        <v>24</v>
      </c>
      <c r="T4">
        <f>S4*Constants!$B$2</f>
        <v>67.199999999999989</v>
      </c>
      <c r="V4">
        <f t="shared" ref="V4:V39" si="9">IF(B4="E",1,0)</f>
        <v>0</v>
      </c>
      <c r="W4">
        <f t="shared" ref="W4:W39" si="10">IF(B4=10,1,0)</f>
        <v>0</v>
      </c>
      <c r="AA4" s="8"/>
      <c r="AJ4" s="4"/>
    </row>
    <row r="5" spans="1:40" x14ac:dyDescent="0.25">
      <c r="A5">
        <v>4</v>
      </c>
      <c r="B5">
        <v>9</v>
      </c>
      <c r="C5" t="s">
        <v>182</v>
      </c>
      <c r="D5" s="16" t="s">
        <v>744</v>
      </c>
      <c r="F5">
        <v>9.3800000000000008</v>
      </c>
      <c r="G5" t="s">
        <v>44</v>
      </c>
      <c r="H5">
        <v>0</v>
      </c>
      <c r="I5">
        <f>2*1.2*(2.5+3.5)</f>
        <v>14.399999999999999</v>
      </c>
      <c r="L5">
        <f>Constants!$B$2</f>
        <v>2.8</v>
      </c>
      <c r="M5" t="str">
        <f t="shared" ref="M5" si="11">IF(N5&gt;0,G5,"N/A")</f>
        <v>N/A</v>
      </c>
      <c r="N5">
        <f>P5*Constants!$E$2</f>
        <v>0</v>
      </c>
      <c r="P5">
        <f>H5</f>
        <v>0</v>
      </c>
      <c r="Q5">
        <f>P5*Constants!$B$3</f>
        <v>0</v>
      </c>
      <c r="R5">
        <f>IF(Q5-N5&lt;=0, 0, Q5-N5)</f>
        <v>0</v>
      </c>
      <c r="S5">
        <f>I5-P5</f>
        <v>14.399999999999999</v>
      </c>
      <c r="T5">
        <f>S5*Constants!$B$2</f>
        <v>40.319999999999993</v>
      </c>
      <c r="V5">
        <f>IF(B5="E",1,0)</f>
        <v>0</v>
      </c>
      <c r="W5">
        <f>IF(B5=10,1,0)</f>
        <v>0</v>
      </c>
      <c r="AA5" s="8"/>
      <c r="AJ5" s="4"/>
    </row>
    <row r="6" spans="1:40" x14ac:dyDescent="0.25">
      <c r="A6">
        <v>5</v>
      </c>
      <c r="B6">
        <v>9</v>
      </c>
      <c r="C6" t="s">
        <v>57</v>
      </c>
      <c r="D6" s="16" t="s">
        <v>745</v>
      </c>
      <c r="F6">
        <v>15.32</v>
      </c>
      <c r="G6" t="s">
        <v>44</v>
      </c>
      <c r="H6">
        <v>0</v>
      </c>
      <c r="I6">
        <f>2*1.2*(4+3)</f>
        <v>16.8</v>
      </c>
      <c r="L6">
        <f>Constants!$B$2</f>
        <v>2.8</v>
      </c>
      <c r="M6" t="str">
        <f t="shared" ref="M6" si="12">IF(N6&gt;0,G6,"N/A")</f>
        <v>N/A</v>
      </c>
      <c r="N6">
        <f>P6*Constants!$E$2</f>
        <v>0</v>
      </c>
      <c r="P6">
        <f>H6</f>
        <v>0</v>
      </c>
      <c r="Q6">
        <f>P6*Constants!$B$3</f>
        <v>0</v>
      </c>
      <c r="R6">
        <f>IF(Q6-N6&lt;=0, 0, Q6-N6)</f>
        <v>0</v>
      </c>
      <c r="S6">
        <f>I6-P6</f>
        <v>16.8</v>
      </c>
      <c r="T6">
        <f>S6*Constants!$B$2</f>
        <v>47.04</v>
      </c>
      <c r="V6">
        <f>IF(B6="E",1,0)</f>
        <v>0</v>
      </c>
      <c r="W6">
        <f>IF(B6=10,1,0)</f>
        <v>0</v>
      </c>
      <c r="AA6" s="8"/>
      <c r="AJ6" s="4"/>
    </row>
    <row r="7" spans="1:40" x14ac:dyDescent="0.25">
      <c r="A7">
        <v>6</v>
      </c>
      <c r="B7">
        <v>9</v>
      </c>
      <c r="C7" t="s">
        <v>182</v>
      </c>
      <c r="D7" s="16" t="s">
        <v>750</v>
      </c>
      <c r="F7">
        <v>8.5299999999999994</v>
      </c>
      <c r="G7" t="s">
        <v>44</v>
      </c>
      <c r="H7">
        <v>0</v>
      </c>
      <c r="I7">
        <f>2*1.2*(2.5+2.5)</f>
        <v>12</v>
      </c>
      <c r="L7">
        <f>Constants!$B$2</f>
        <v>2.8</v>
      </c>
      <c r="M7" t="str">
        <f t="shared" si="0"/>
        <v>N/A</v>
      </c>
      <c r="N7">
        <f>P7*Constants!$E$2</f>
        <v>0</v>
      </c>
      <c r="P7">
        <f t="shared" si="7"/>
        <v>0</v>
      </c>
      <c r="Q7">
        <f>P7*Constants!$B$3</f>
        <v>0</v>
      </c>
      <c r="R7">
        <f t="shared" ref="R7:R39" si="13">IF(Q7-N7&lt;=0, 0, Q7-N7)</f>
        <v>0</v>
      </c>
      <c r="S7">
        <f t="shared" si="8"/>
        <v>12</v>
      </c>
      <c r="T7">
        <f>S7*Constants!$B$2</f>
        <v>33.599999999999994</v>
      </c>
      <c r="V7">
        <f t="shared" si="9"/>
        <v>0</v>
      </c>
      <c r="W7">
        <f t="shared" si="10"/>
        <v>0</v>
      </c>
      <c r="AA7" s="8"/>
      <c r="AJ7" s="4"/>
    </row>
    <row r="8" spans="1:40" x14ac:dyDescent="0.25">
      <c r="A8">
        <v>7</v>
      </c>
      <c r="B8">
        <v>9</v>
      </c>
      <c r="C8" t="s">
        <v>55</v>
      </c>
      <c r="D8" s="16" t="s">
        <v>751</v>
      </c>
      <c r="E8" s="16"/>
      <c r="F8">
        <v>26.24</v>
      </c>
      <c r="G8" t="s">
        <v>44</v>
      </c>
      <c r="H8">
        <v>0</v>
      </c>
      <c r="I8">
        <f>2*1.2*(5+4)</f>
        <v>21.599999999999998</v>
      </c>
      <c r="L8">
        <f>Constants!$B$2</f>
        <v>2.8</v>
      </c>
      <c r="M8" t="str">
        <f t="shared" si="0"/>
        <v>N/A</v>
      </c>
      <c r="N8">
        <f>P8*Constants!$E$2</f>
        <v>0</v>
      </c>
      <c r="P8">
        <f>H8</f>
        <v>0</v>
      </c>
      <c r="Q8">
        <f>P8*Constants!$B$3</f>
        <v>0</v>
      </c>
      <c r="R8">
        <f t="shared" si="13"/>
        <v>0</v>
      </c>
      <c r="S8">
        <f>I8-P8</f>
        <v>21.599999999999998</v>
      </c>
      <c r="T8">
        <f>S8*Constants!$B$2</f>
        <v>60.47999999999999</v>
      </c>
      <c r="V8">
        <f>IF(B8="E",1,0)</f>
        <v>0</v>
      </c>
      <c r="W8">
        <f>IF(B8=10,1,0)</f>
        <v>0</v>
      </c>
      <c r="AA8" s="8"/>
      <c r="AJ8" s="4"/>
    </row>
    <row r="9" spans="1:40" x14ac:dyDescent="0.25">
      <c r="A9">
        <v>8</v>
      </c>
      <c r="B9">
        <v>9</v>
      </c>
      <c r="C9" t="s">
        <v>917</v>
      </c>
      <c r="D9" s="16" t="s">
        <v>752</v>
      </c>
      <c r="F9">
        <v>15.98</v>
      </c>
      <c r="G9">
        <v>270</v>
      </c>
      <c r="H9">
        <v>3.6</v>
      </c>
      <c r="I9">
        <f>2*1.2*(3+4)</f>
        <v>16.8</v>
      </c>
      <c r="L9">
        <f>Constants!$B$2</f>
        <v>2.8</v>
      </c>
      <c r="M9">
        <f t="shared" si="0"/>
        <v>270</v>
      </c>
      <c r="N9">
        <f>P9*Constants!$E$2</f>
        <v>6.12</v>
      </c>
      <c r="P9">
        <f t="shared" ref="P9:P10" si="14">H9</f>
        <v>3.6</v>
      </c>
      <c r="Q9">
        <f>P9*Constants!$B$3</f>
        <v>15.119999999999997</v>
      </c>
      <c r="R9">
        <f t="shared" si="13"/>
        <v>8.9999999999999964</v>
      </c>
      <c r="S9">
        <f t="shared" ref="S9:S10" si="15">I9-P9</f>
        <v>13.200000000000001</v>
      </c>
      <c r="T9">
        <f>S9*Constants!$B$2</f>
        <v>36.96</v>
      </c>
      <c r="V9">
        <f t="shared" ref="V9:V10" si="16">IF(B9="E",1,0)</f>
        <v>0</v>
      </c>
      <c r="W9">
        <f t="shared" ref="W9:W10" si="17">IF(B9=10,1,0)</f>
        <v>0</v>
      </c>
      <c r="AA9" s="8"/>
      <c r="AJ9" s="4"/>
    </row>
    <row r="10" spans="1:40" x14ac:dyDescent="0.25">
      <c r="A10">
        <v>9</v>
      </c>
      <c r="B10">
        <v>9</v>
      </c>
      <c r="C10" t="s">
        <v>59</v>
      </c>
      <c r="D10" s="16" t="s">
        <v>753</v>
      </c>
      <c r="E10" s="16"/>
      <c r="F10">
        <v>8.19</v>
      </c>
      <c r="G10">
        <v>270</v>
      </c>
      <c r="H10">
        <v>3</v>
      </c>
      <c r="I10">
        <f>2*1.2*(2.5*2)</f>
        <v>12</v>
      </c>
      <c r="L10">
        <f>Constants!$B$2</f>
        <v>2.8</v>
      </c>
      <c r="M10">
        <f t="shared" si="0"/>
        <v>270</v>
      </c>
      <c r="N10">
        <f>P10*Constants!$E$2</f>
        <v>5.0999999999999996</v>
      </c>
      <c r="P10">
        <f t="shared" si="14"/>
        <v>3</v>
      </c>
      <c r="Q10">
        <f>P10*Constants!$B$3</f>
        <v>12.599999999999998</v>
      </c>
      <c r="R10">
        <f t="shared" si="13"/>
        <v>7.4999999999999982</v>
      </c>
      <c r="S10">
        <f t="shared" si="15"/>
        <v>9</v>
      </c>
      <c r="T10">
        <f>S10*Constants!$B$2</f>
        <v>25.2</v>
      </c>
      <c r="V10">
        <f t="shared" si="16"/>
        <v>0</v>
      </c>
      <c r="W10">
        <f t="shared" si="17"/>
        <v>0</v>
      </c>
      <c r="AA10" s="8"/>
      <c r="AJ10" s="4"/>
    </row>
    <row r="11" spans="1:40" x14ac:dyDescent="0.25">
      <c r="A11">
        <v>10</v>
      </c>
      <c r="B11">
        <v>9</v>
      </c>
      <c r="C11" t="s">
        <v>917</v>
      </c>
      <c r="D11" s="16" t="s">
        <v>754</v>
      </c>
      <c r="E11" s="16"/>
      <c r="F11">
        <v>8.19</v>
      </c>
      <c r="G11">
        <v>270</v>
      </c>
      <c r="H11">
        <v>3</v>
      </c>
      <c r="I11">
        <f>2*1.2*(2.5*2)</f>
        <v>12</v>
      </c>
      <c r="L11">
        <f>Constants!$B$2</f>
        <v>2.8</v>
      </c>
      <c r="M11">
        <f t="shared" ref="M11" si="18">IF(N11&gt;0,G11,"N/A")</f>
        <v>270</v>
      </c>
      <c r="N11">
        <f>P11*Constants!$E$2</f>
        <v>5.0999999999999996</v>
      </c>
      <c r="P11">
        <f t="shared" ref="P11" si="19">H11</f>
        <v>3</v>
      </c>
      <c r="Q11">
        <f>P11*Constants!$B$3</f>
        <v>12.599999999999998</v>
      </c>
      <c r="R11">
        <f t="shared" ref="R11" si="20">IF(Q11-N11&lt;=0, 0, Q11-N11)</f>
        <v>7.4999999999999982</v>
      </c>
      <c r="S11">
        <f t="shared" ref="S11" si="21">I11-P11</f>
        <v>9</v>
      </c>
      <c r="T11">
        <f>S11*Constants!$B$2</f>
        <v>25.2</v>
      </c>
      <c r="V11">
        <f t="shared" ref="V11" si="22">IF(B11="E",1,0)</f>
        <v>0</v>
      </c>
      <c r="W11">
        <f t="shared" ref="W11" si="23">IF(B11=10,1,0)</f>
        <v>0</v>
      </c>
      <c r="AA11" s="8"/>
      <c r="AJ11" s="4"/>
    </row>
    <row r="12" spans="1:40" x14ac:dyDescent="0.25">
      <c r="A12">
        <v>11</v>
      </c>
      <c r="B12">
        <v>9</v>
      </c>
      <c r="C12" t="s">
        <v>917</v>
      </c>
      <c r="D12" s="16" t="s">
        <v>755</v>
      </c>
      <c r="E12" s="16"/>
      <c r="F12">
        <v>16.16</v>
      </c>
      <c r="G12">
        <v>270</v>
      </c>
      <c r="H12">
        <v>3.6</v>
      </c>
      <c r="I12">
        <f>2*1.2*(3+4)</f>
        <v>16.8</v>
      </c>
      <c r="L12">
        <f>Constants!$B$2</f>
        <v>2.8</v>
      </c>
      <c r="M12">
        <f t="shared" si="0"/>
        <v>270</v>
      </c>
      <c r="N12">
        <f>P12*Constants!$E$2</f>
        <v>6.12</v>
      </c>
      <c r="P12">
        <f t="shared" si="7"/>
        <v>3.6</v>
      </c>
      <c r="Q12">
        <f>P12*Constants!$B$3</f>
        <v>15.119999999999997</v>
      </c>
      <c r="R12">
        <f t="shared" si="13"/>
        <v>8.9999999999999964</v>
      </c>
      <c r="S12">
        <f t="shared" si="8"/>
        <v>13.200000000000001</v>
      </c>
      <c r="T12">
        <f>S12*Constants!$B$2</f>
        <v>36.96</v>
      </c>
      <c r="V12">
        <f t="shared" si="9"/>
        <v>0</v>
      </c>
      <c r="W12">
        <f t="shared" si="10"/>
        <v>0</v>
      </c>
      <c r="AA12" s="8"/>
      <c r="AJ12" s="4"/>
    </row>
    <row r="13" spans="1:40" x14ac:dyDescent="0.25">
      <c r="A13">
        <v>12</v>
      </c>
      <c r="B13">
        <v>9</v>
      </c>
      <c r="C13" t="s">
        <v>67</v>
      </c>
      <c r="D13" s="16" t="s">
        <v>756</v>
      </c>
      <c r="F13">
        <v>16.25</v>
      </c>
      <c r="G13">
        <v>270</v>
      </c>
      <c r="H13">
        <v>3.6</v>
      </c>
      <c r="I13">
        <f>2*1.2*(3+4)</f>
        <v>16.8</v>
      </c>
      <c r="L13">
        <f>Constants!$B$2</f>
        <v>2.8</v>
      </c>
      <c r="M13">
        <f t="shared" si="0"/>
        <v>270</v>
      </c>
      <c r="N13">
        <f>P13*Constants!$E$2</f>
        <v>6.12</v>
      </c>
      <c r="P13">
        <f t="shared" si="7"/>
        <v>3.6</v>
      </c>
      <c r="Q13">
        <f>P13*Constants!$B$3</f>
        <v>15.119999999999997</v>
      </c>
      <c r="R13">
        <f t="shared" si="13"/>
        <v>8.9999999999999964</v>
      </c>
      <c r="S13">
        <f t="shared" si="8"/>
        <v>13.200000000000001</v>
      </c>
      <c r="T13">
        <f>S13*Constants!$B$2</f>
        <v>36.96</v>
      </c>
      <c r="V13">
        <f t="shared" si="9"/>
        <v>0</v>
      </c>
      <c r="W13">
        <f t="shared" si="10"/>
        <v>0</v>
      </c>
      <c r="AA13" s="8"/>
      <c r="AJ13" s="4"/>
    </row>
    <row r="14" spans="1:40" x14ac:dyDescent="0.25">
      <c r="A14">
        <v>13</v>
      </c>
      <c r="B14">
        <v>9</v>
      </c>
      <c r="C14" t="s">
        <v>50</v>
      </c>
      <c r="D14" s="16" t="s">
        <v>757</v>
      </c>
      <c r="E14" s="16"/>
      <c r="F14">
        <v>3.82</v>
      </c>
      <c r="G14" t="s">
        <v>44</v>
      </c>
      <c r="H14">
        <v>0</v>
      </c>
      <c r="I14">
        <f>2*1.2*(1.5+2.5)</f>
        <v>9.6</v>
      </c>
      <c r="L14">
        <f>Constants!$B$2</f>
        <v>2.8</v>
      </c>
      <c r="M14" t="str">
        <f t="shared" si="0"/>
        <v>N/A</v>
      </c>
      <c r="N14">
        <f>P14*Constants!$E$2</f>
        <v>0</v>
      </c>
      <c r="P14">
        <f t="shared" si="7"/>
        <v>0</v>
      </c>
      <c r="Q14">
        <f>P14*Constants!$B$3</f>
        <v>0</v>
      </c>
      <c r="R14">
        <f t="shared" si="13"/>
        <v>0</v>
      </c>
      <c r="S14">
        <f t="shared" si="8"/>
        <v>9.6</v>
      </c>
      <c r="T14">
        <f>S14*Constants!$B$2</f>
        <v>26.88</v>
      </c>
      <c r="V14">
        <f t="shared" si="9"/>
        <v>0</v>
      </c>
      <c r="W14">
        <f t="shared" si="10"/>
        <v>0</v>
      </c>
      <c r="AA14" s="8"/>
      <c r="AJ14" s="4"/>
    </row>
    <row r="15" spans="1:40" x14ac:dyDescent="0.25">
      <c r="A15">
        <v>14</v>
      </c>
      <c r="B15">
        <v>9</v>
      </c>
      <c r="C15" t="s">
        <v>59</v>
      </c>
      <c r="D15" s="16" t="s">
        <v>759</v>
      </c>
      <c r="F15">
        <v>6.41</v>
      </c>
      <c r="G15" t="s">
        <v>44</v>
      </c>
      <c r="H15">
        <v>0</v>
      </c>
      <c r="I15">
        <f>2*(2+2.5)*1.2</f>
        <v>10.799999999999999</v>
      </c>
      <c r="L15">
        <f>Constants!$B$2</f>
        <v>2.8</v>
      </c>
      <c r="M15" t="str">
        <f t="shared" si="0"/>
        <v>N/A</v>
      </c>
      <c r="N15">
        <f>P15*Constants!$E$2</f>
        <v>0</v>
      </c>
      <c r="P15">
        <f t="shared" si="7"/>
        <v>0</v>
      </c>
      <c r="Q15">
        <f>P15*Constants!$B$3</f>
        <v>0</v>
      </c>
      <c r="R15">
        <f t="shared" si="13"/>
        <v>0</v>
      </c>
      <c r="S15">
        <f t="shared" si="8"/>
        <v>10.799999999999999</v>
      </c>
      <c r="T15">
        <f>S15*Constants!$B$2</f>
        <v>30.239999999999995</v>
      </c>
      <c r="V15">
        <f t="shared" si="9"/>
        <v>0</v>
      </c>
      <c r="W15">
        <f t="shared" si="10"/>
        <v>0</v>
      </c>
      <c r="AA15" s="8"/>
      <c r="AJ15" s="4"/>
    </row>
    <row r="16" spans="1:40" x14ac:dyDescent="0.25">
      <c r="A16">
        <v>15</v>
      </c>
      <c r="B16">
        <v>9</v>
      </c>
      <c r="C16" t="s">
        <v>55</v>
      </c>
      <c r="D16" s="16" t="s">
        <v>760</v>
      </c>
      <c r="F16">
        <v>39.64</v>
      </c>
      <c r="G16" t="s">
        <v>44</v>
      </c>
      <c r="H16">
        <v>0</v>
      </c>
      <c r="I16">
        <f>2*1.2*(5+4)</f>
        <v>21.599999999999998</v>
      </c>
      <c r="L16">
        <f>Constants!$B$2</f>
        <v>2.8</v>
      </c>
      <c r="M16" t="str">
        <f t="shared" si="0"/>
        <v>N/A</v>
      </c>
      <c r="N16">
        <f>P16*Constants!$E$2</f>
        <v>0</v>
      </c>
      <c r="P16">
        <f t="shared" si="7"/>
        <v>0</v>
      </c>
      <c r="Q16">
        <f>P16*Constants!$B$3</f>
        <v>0</v>
      </c>
      <c r="R16">
        <f t="shared" si="13"/>
        <v>0</v>
      </c>
      <c r="S16">
        <f t="shared" si="8"/>
        <v>21.599999999999998</v>
      </c>
      <c r="T16">
        <f>S16*Constants!$B$2</f>
        <v>60.47999999999999</v>
      </c>
      <c r="V16">
        <f t="shared" si="9"/>
        <v>0</v>
      </c>
      <c r="W16">
        <f t="shared" si="10"/>
        <v>0</v>
      </c>
      <c r="AA16" s="8"/>
      <c r="AJ16" s="4"/>
    </row>
    <row r="17" spans="1:36" x14ac:dyDescent="0.25">
      <c r="A17">
        <v>16</v>
      </c>
      <c r="B17">
        <v>9</v>
      </c>
      <c r="C17" t="s">
        <v>54</v>
      </c>
      <c r="D17" s="16" t="s">
        <v>761</v>
      </c>
      <c r="E17" s="16"/>
      <c r="F17">
        <v>15.98</v>
      </c>
      <c r="G17">
        <v>270</v>
      </c>
      <c r="H17">
        <v>3.6</v>
      </c>
      <c r="I17">
        <f>2*1.2*(3+4)</f>
        <v>16.8</v>
      </c>
      <c r="L17">
        <f>Constants!$B$2</f>
        <v>2.8</v>
      </c>
      <c r="M17">
        <f>IF(N17&gt;0,G17,"N/A")</f>
        <v>270</v>
      </c>
      <c r="N17">
        <f>P17*Constants!$E$2</f>
        <v>6.12</v>
      </c>
      <c r="P17">
        <f>H17</f>
        <v>3.6</v>
      </c>
      <c r="Q17">
        <f>P17*Constants!$B$3</f>
        <v>15.119999999999997</v>
      </c>
      <c r="R17">
        <f t="shared" si="13"/>
        <v>8.9999999999999964</v>
      </c>
      <c r="S17">
        <f>I17-P17</f>
        <v>13.200000000000001</v>
      </c>
      <c r="T17">
        <f>S17*Constants!$B$2</f>
        <v>36.96</v>
      </c>
      <c r="V17">
        <f t="shared" si="9"/>
        <v>0</v>
      </c>
      <c r="W17">
        <f t="shared" si="10"/>
        <v>0</v>
      </c>
      <c r="AA17" s="8"/>
      <c r="AJ17" s="4"/>
    </row>
    <row r="18" spans="1:36" x14ac:dyDescent="0.25">
      <c r="A18">
        <v>17</v>
      </c>
      <c r="B18">
        <v>9</v>
      </c>
      <c r="C18" t="s">
        <v>75</v>
      </c>
      <c r="D18" s="16" t="s">
        <v>762</v>
      </c>
      <c r="E18" s="16"/>
      <c r="F18">
        <v>8.19</v>
      </c>
      <c r="G18">
        <v>270</v>
      </c>
      <c r="H18">
        <v>3</v>
      </c>
      <c r="I18">
        <f>2*1.2*(2.5*2)</f>
        <v>12</v>
      </c>
      <c r="L18">
        <f>Constants!$B$2</f>
        <v>2.8</v>
      </c>
      <c r="M18">
        <f t="shared" ref="M18" si="24">IF(N18&gt;0,G18,"N/A")</f>
        <v>270</v>
      </c>
      <c r="N18">
        <f>P18*Constants!$E$2</f>
        <v>5.0999999999999996</v>
      </c>
      <c r="P18">
        <f t="shared" ref="P18" si="25">H18</f>
        <v>3</v>
      </c>
      <c r="Q18">
        <f>P18*Constants!$B$3</f>
        <v>12.599999999999998</v>
      </c>
      <c r="R18">
        <f t="shared" ref="R18" si="26">IF(Q18-N18&lt;=0, 0, Q18-N18)</f>
        <v>7.4999999999999982</v>
      </c>
      <c r="S18">
        <f t="shared" ref="S18" si="27">I18-P18</f>
        <v>9</v>
      </c>
      <c r="T18">
        <f>S18*Constants!$B$2</f>
        <v>25.2</v>
      </c>
      <c r="V18">
        <f t="shared" si="9"/>
        <v>0</v>
      </c>
      <c r="W18">
        <f t="shared" si="10"/>
        <v>0</v>
      </c>
      <c r="AA18" s="8"/>
      <c r="AJ18" s="4"/>
    </row>
    <row r="19" spans="1:36" x14ac:dyDescent="0.25">
      <c r="A19">
        <v>18</v>
      </c>
      <c r="B19">
        <v>9</v>
      </c>
      <c r="C19" t="s">
        <v>54</v>
      </c>
      <c r="D19" s="16" t="s">
        <v>763</v>
      </c>
      <c r="E19" s="16"/>
      <c r="F19">
        <v>8.19</v>
      </c>
      <c r="G19">
        <v>270</v>
      </c>
      <c r="H19">
        <v>3</v>
      </c>
      <c r="I19">
        <f>2*1.2*(2.5*2)</f>
        <v>12</v>
      </c>
      <c r="L19">
        <f>Constants!$B$2</f>
        <v>2.8</v>
      </c>
      <c r="M19">
        <f t="shared" ref="M19" si="28">IF(N19&gt;0,G19,"N/A")</f>
        <v>270</v>
      </c>
      <c r="N19">
        <f>P19*Constants!$E$2</f>
        <v>5.0999999999999996</v>
      </c>
      <c r="P19">
        <f t="shared" ref="P19" si="29">H19</f>
        <v>3</v>
      </c>
      <c r="Q19">
        <f>P19*Constants!$B$3</f>
        <v>12.599999999999998</v>
      </c>
      <c r="R19">
        <f t="shared" ref="R19" si="30">IF(Q19-N19&lt;=0, 0, Q19-N19)</f>
        <v>7.4999999999999982</v>
      </c>
      <c r="S19">
        <f t="shared" ref="S19" si="31">I19-P19</f>
        <v>9</v>
      </c>
      <c r="T19">
        <f>S19*Constants!$B$2</f>
        <v>25.2</v>
      </c>
      <c r="V19">
        <f t="shared" ref="V19" si="32">IF(B19="E",1,0)</f>
        <v>0</v>
      </c>
      <c r="W19">
        <f t="shared" ref="W19" si="33">IF(B19=10,1,0)</f>
        <v>0</v>
      </c>
      <c r="AA19" s="8"/>
      <c r="AJ19" s="4"/>
    </row>
    <row r="20" spans="1:36" x14ac:dyDescent="0.25">
      <c r="A20">
        <v>19</v>
      </c>
      <c r="B20">
        <v>9</v>
      </c>
      <c r="C20" t="s">
        <v>185</v>
      </c>
      <c r="D20" s="16" t="s">
        <v>764</v>
      </c>
      <c r="F20">
        <v>16.13</v>
      </c>
      <c r="G20">
        <v>270</v>
      </c>
      <c r="H20">
        <v>3.6</v>
      </c>
      <c r="I20">
        <f>2*1.2*(3+4)</f>
        <v>16.8</v>
      </c>
      <c r="L20">
        <f>Constants!$B$2</f>
        <v>2.8</v>
      </c>
      <c r="M20">
        <f t="shared" si="0"/>
        <v>270</v>
      </c>
      <c r="N20">
        <f>P20*Constants!$E$2</f>
        <v>6.12</v>
      </c>
      <c r="P20">
        <f t="shared" si="7"/>
        <v>3.6</v>
      </c>
      <c r="Q20">
        <f>P20*Constants!$B$3</f>
        <v>15.119999999999997</v>
      </c>
      <c r="R20">
        <f t="shared" si="13"/>
        <v>8.9999999999999964</v>
      </c>
      <c r="S20">
        <f t="shared" si="8"/>
        <v>13.200000000000001</v>
      </c>
      <c r="T20">
        <f>S20*Constants!$B$2</f>
        <v>36.96</v>
      </c>
      <c r="V20">
        <f t="shared" si="9"/>
        <v>0</v>
      </c>
      <c r="W20">
        <f t="shared" si="10"/>
        <v>0</v>
      </c>
      <c r="AA20" s="8"/>
      <c r="AJ20" s="4"/>
    </row>
    <row r="21" spans="1:36" x14ac:dyDescent="0.25">
      <c r="A21">
        <v>20</v>
      </c>
      <c r="B21">
        <v>9</v>
      </c>
      <c r="C21" t="s">
        <v>62</v>
      </c>
      <c r="D21" s="16" t="s">
        <v>765</v>
      </c>
      <c r="E21" s="16"/>
      <c r="F21">
        <v>16.25</v>
      </c>
      <c r="G21">
        <v>270</v>
      </c>
      <c r="H21">
        <v>6.9</v>
      </c>
      <c r="I21">
        <f>2*1.2*(3+4)</f>
        <v>16.8</v>
      </c>
      <c r="L21">
        <f>Constants!$B$2</f>
        <v>2.8</v>
      </c>
      <c r="M21">
        <f t="shared" si="0"/>
        <v>270</v>
      </c>
      <c r="N21">
        <f>P21*Constants!$E$2</f>
        <v>11.73</v>
      </c>
      <c r="P21">
        <f t="shared" si="7"/>
        <v>6.9</v>
      </c>
      <c r="Q21">
        <f>P21*Constants!$B$3</f>
        <v>28.979999999999997</v>
      </c>
      <c r="R21">
        <f t="shared" si="13"/>
        <v>17.249999999999996</v>
      </c>
      <c r="S21">
        <f t="shared" si="8"/>
        <v>9.9</v>
      </c>
      <c r="T21">
        <f>S21*Constants!$B$2</f>
        <v>27.72</v>
      </c>
      <c r="V21">
        <f t="shared" si="9"/>
        <v>0</v>
      </c>
      <c r="W21">
        <f t="shared" si="10"/>
        <v>0</v>
      </c>
      <c r="AA21" s="8"/>
      <c r="AJ21" s="4"/>
    </row>
    <row r="22" spans="1:36" x14ac:dyDescent="0.25">
      <c r="A22">
        <v>21</v>
      </c>
      <c r="B22">
        <v>9</v>
      </c>
      <c r="C22" t="s">
        <v>50</v>
      </c>
      <c r="D22" s="16" t="s">
        <v>766</v>
      </c>
      <c r="F22">
        <v>2.9</v>
      </c>
      <c r="G22" t="s">
        <v>44</v>
      </c>
      <c r="H22">
        <v>0</v>
      </c>
      <c r="I22">
        <f>2*1.2*(1.5+2)</f>
        <v>8.4</v>
      </c>
      <c r="L22">
        <f>Constants!$B$2</f>
        <v>2.8</v>
      </c>
      <c r="M22" t="str">
        <f t="shared" si="0"/>
        <v>N/A</v>
      </c>
      <c r="N22">
        <f>P22*Constants!$E$2</f>
        <v>0</v>
      </c>
      <c r="P22">
        <f t="shared" si="7"/>
        <v>0</v>
      </c>
      <c r="Q22">
        <f>P22*Constants!$B$3</f>
        <v>0</v>
      </c>
      <c r="R22">
        <f t="shared" si="13"/>
        <v>0</v>
      </c>
      <c r="S22">
        <f t="shared" si="8"/>
        <v>8.4</v>
      </c>
      <c r="T22">
        <f>S22*Constants!$B$2</f>
        <v>23.52</v>
      </c>
      <c r="V22">
        <f t="shared" si="9"/>
        <v>0</v>
      </c>
      <c r="W22">
        <f t="shared" si="10"/>
        <v>0</v>
      </c>
      <c r="AA22" s="8"/>
      <c r="AJ22" s="4"/>
    </row>
    <row r="23" spans="1:36" x14ac:dyDescent="0.25">
      <c r="A23">
        <v>22</v>
      </c>
      <c r="B23">
        <v>9</v>
      </c>
      <c r="C23" t="s">
        <v>45</v>
      </c>
      <c r="D23" s="16" t="s">
        <v>767</v>
      </c>
      <c r="E23" s="16"/>
      <c r="F23">
        <v>1.83</v>
      </c>
      <c r="G23" t="s">
        <v>44</v>
      </c>
      <c r="H23">
        <v>0</v>
      </c>
      <c r="I23">
        <f>2*1.2*(1.5+1)</f>
        <v>6</v>
      </c>
      <c r="L23">
        <f>Constants!$B$2</f>
        <v>2.8</v>
      </c>
      <c r="M23" t="str">
        <f t="shared" si="0"/>
        <v>N/A</v>
      </c>
      <c r="N23">
        <f>P23*Constants!$E$2</f>
        <v>0</v>
      </c>
      <c r="P23">
        <f t="shared" si="7"/>
        <v>0</v>
      </c>
      <c r="Q23">
        <f>P23*Constants!$B$3</f>
        <v>0</v>
      </c>
      <c r="R23">
        <f t="shared" si="13"/>
        <v>0</v>
      </c>
      <c r="S23">
        <f t="shared" si="8"/>
        <v>6</v>
      </c>
      <c r="T23">
        <f>S23*Constants!$B$2</f>
        <v>16.799999999999997</v>
      </c>
      <c r="V23">
        <f t="shared" si="9"/>
        <v>0</v>
      </c>
      <c r="W23">
        <f t="shared" si="10"/>
        <v>0</v>
      </c>
      <c r="AA23" s="8"/>
      <c r="AJ23" s="4"/>
    </row>
    <row r="24" spans="1:36" x14ac:dyDescent="0.25">
      <c r="A24">
        <v>23</v>
      </c>
      <c r="B24">
        <v>9</v>
      </c>
      <c r="C24" t="s">
        <v>62</v>
      </c>
      <c r="D24" s="16" t="s">
        <v>746</v>
      </c>
      <c r="F24">
        <v>20.76</v>
      </c>
      <c r="G24">
        <v>0</v>
      </c>
      <c r="H24">
        <v>4</v>
      </c>
      <c r="I24">
        <f>2*(4+5.3)</f>
        <v>18.600000000000001</v>
      </c>
      <c r="L24">
        <f>Constants!$B$2</f>
        <v>2.8</v>
      </c>
      <c r="M24">
        <f t="shared" si="0"/>
        <v>0</v>
      </c>
      <c r="N24">
        <f>P24*Constants!$E$2</f>
        <v>6.8</v>
      </c>
      <c r="P24">
        <f t="shared" si="7"/>
        <v>4</v>
      </c>
      <c r="Q24">
        <f>P24*Constants!$B$3</f>
        <v>16.799999999999997</v>
      </c>
      <c r="R24">
        <f t="shared" si="13"/>
        <v>9.9999999999999964</v>
      </c>
      <c r="S24">
        <f t="shared" si="8"/>
        <v>14.600000000000001</v>
      </c>
      <c r="T24">
        <f>S24*Constants!$B$2</f>
        <v>40.880000000000003</v>
      </c>
      <c r="V24">
        <f t="shared" si="9"/>
        <v>0</v>
      </c>
      <c r="W24">
        <f t="shared" si="10"/>
        <v>0</v>
      </c>
      <c r="AA24" s="8"/>
      <c r="AJ24" s="4"/>
    </row>
    <row r="25" spans="1:36" x14ac:dyDescent="0.25">
      <c r="A25">
        <v>24</v>
      </c>
      <c r="B25">
        <v>9</v>
      </c>
      <c r="C25" t="s">
        <v>64</v>
      </c>
      <c r="D25" s="16" t="s">
        <v>747</v>
      </c>
      <c r="F25">
        <v>3.72</v>
      </c>
      <c r="G25">
        <v>90</v>
      </c>
      <c r="H25">
        <v>1.4</v>
      </c>
      <c r="I25">
        <f>2*(3.5+1.4)</f>
        <v>9.8000000000000007</v>
      </c>
      <c r="L25">
        <f>Constants!$B$2</f>
        <v>2.8</v>
      </c>
      <c r="M25">
        <f t="shared" si="0"/>
        <v>90</v>
      </c>
      <c r="N25">
        <f>P25*Constants!$E$2</f>
        <v>2.38</v>
      </c>
      <c r="P25">
        <f t="shared" si="7"/>
        <v>1.4</v>
      </c>
      <c r="Q25">
        <f>P25*Constants!$B$3</f>
        <v>5.879999999999999</v>
      </c>
      <c r="R25">
        <f t="shared" si="13"/>
        <v>3.4999999999999991</v>
      </c>
      <c r="S25">
        <f t="shared" si="8"/>
        <v>8.4</v>
      </c>
      <c r="T25">
        <f>S25*Constants!$B$2</f>
        <v>23.52</v>
      </c>
      <c r="V25">
        <f t="shared" si="9"/>
        <v>0</v>
      </c>
      <c r="W25">
        <f t="shared" si="10"/>
        <v>0</v>
      </c>
      <c r="AA25" s="8"/>
      <c r="AJ25" s="4"/>
    </row>
    <row r="26" spans="1:36" x14ac:dyDescent="0.25">
      <c r="A26">
        <v>25</v>
      </c>
      <c r="B26">
        <v>9</v>
      </c>
      <c r="C26" t="s">
        <v>64</v>
      </c>
      <c r="D26" s="16" t="s">
        <v>748</v>
      </c>
      <c r="F26">
        <v>3.72</v>
      </c>
      <c r="G26">
        <v>90</v>
      </c>
      <c r="H26">
        <v>1.4</v>
      </c>
      <c r="I26">
        <f>2*(3.5+1.4)</f>
        <v>9.8000000000000007</v>
      </c>
      <c r="L26">
        <f>Constants!$B$2</f>
        <v>2.8</v>
      </c>
      <c r="M26">
        <f t="shared" si="0"/>
        <v>90</v>
      </c>
      <c r="N26">
        <f>P26*Constants!$E$2</f>
        <v>2.38</v>
      </c>
      <c r="P26">
        <f t="shared" si="7"/>
        <v>1.4</v>
      </c>
      <c r="Q26">
        <f>P26*Constants!$B$3</f>
        <v>5.879999999999999</v>
      </c>
      <c r="R26">
        <f t="shared" si="13"/>
        <v>3.4999999999999991</v>
      </c>
      <c r="S26">
        <f t="shared" si="8"/>
        <v>8.4</v>
      </c>
      <c r="T26">
        <f>S26*Constants!$B$2</f>
        <v>23.52</v>
      </c>
      <c r="V26">
        <f t="shared" si="9"/>
        <v>0</v>
      </c>
      <c r="W26">
        <f t="shared" si="10"/>
        <v>0</v>
      </c>
      <c r="AA26" s="8"/>
      <c r="AJ26" s="4"/>
    </row>
    <row r="27" spans="1:36" x14ac:dyDescent="0.25">
      <c r="A27">
        <v>26</v>
      </c>
      <c r="B27">
        <v>9</v>
      </c>
      <c r="C27" t="s">
        <v>62</v>
      </c>
      <c r="D27" s="16" t="s">
        <v>749</v>
      </c>
      <c r="F27">
        <v>97.21</v>
      </c>
      <c r="G27" t="s">
        <v>44</v>
      </c>
      <c r="H27">
        <v>0</v>
      </c>
      <c r="I27">
        <v>100.25</v>
      </c>
      <c r="L27">
        <f>Constants!$B$2</f>
        <v>2.8</v>
      </c>
      <c r="M27" t="str">
        <f t="shared" si="0"/>
        <v>N/A</v>
      </c>
      <c r="N27">
        <f>P27*Constants!$E$2</f>
        <v>0</v>
      </c>
      <c r="P27">
        <f t="shared" si="7"/>
        <v>0</v>
      </c>
      <c r="Q27">
        <f>P27*Constants!$B$3</f>
        <v>0</v>
      </c>
      <c r="R27">
        <f t="shared" si="13"/>
        <v>0</v>
      </c>
      <c r="S27">
        <f t="shared" si="8"/>
        <v>100.25</v>
      </c>
      <c r="T27">
        <f>S27*Constants!$B$2</f>
        <v>280.7</v>
      </c>
      <c r="V27">
        <f t="shared" si="9"/>
        <v>0</v>
      </c>
      <c r="W27">
        <f t="shared" si="10"/>
        <v>0</v>
      </c>
      <c r="AA27" s="8"/>
      <c r="AJ27" s="4"/>
    </row>
    <row r="28" spans="1:36" x14ac:dyDescent="0.25">
      <c r="A28">
        <v>27</v>
      </c>
      <c r="B28">
        <v>9</v>
      </c>
      <c r="C28" t="s">
        <v>75</v>
      </c>
      <c r="D28" s="16" t="s">
        <v>769</v>
      </c>
      <c r="E28" s="16"/>
      <c r="F28">
        <v>1.83</v>
      </c>
      <c r="G28" t="s">
        <v>44</v>
      </c>
      <c r="H28">
        <v>0</v>
      </c>
      <c r="I28">
        <f>2*1.2*(1.5+1)</f>
        <v>6</v>
      </c>
      <c r="L28">
        <f>Constants!$B$2</f>
        <v>2.8</v>
      </c>
      <c r="M28" t="str">
        <f t="shared" si="0"/>
        <v>N/A</v>
      </c>
      <c r="N28">
        <f>P28*Constants!$E$2</f>
        <v>0</v>
      </c>
      <c r="P28">
        <f t="shared" si="7"/>
        <v>0</v>
      </c>
      <c r="Q28">
        <f>P28*Constants!$B$3</f>
        <v>0</v>
      </c>
      <c r="R28">
        <f t="shared" si="13"/>
        <v>0</v>
      </c>
      <c r="S28">
        <f t="shared" si="8"/>
        <v>6</v>
      </c>
      <c r="T28">
        <f>S28*Constants!$B$2</f>
        <v>16.799999999999997</v>
      </c>
      <c r="V28">
        <f t="shared" si="9"/>
        <v>0</v>
      </c>
      <c r="W28">
        <f t="shared" si="10"/>
        <v>0</v>
      </c>
      <c r="AA28" s="8"/>
      <c r="AJ28" s="4"/>
    </row>
    <row r="29" spans="1:36" x14ac:dyDescent="0.25">
      <c r="A29">
        <v>28</v>
      </c>
      <c r="B29">
        <v>9</v>
      </c>
      <c r="C29" t="s">
        <v>182</v>
      </c>
      <c r="D29" s="16" t="s">
        <v>768</v>
      </c>
      <c r="E29" s="16"/>
      <c r="F29">
        <v>7.19</v>
      </c>
      <c r="G29" t="s">
        <v>44</v>
      </c>
      <c r="H29">
        <v>0</v>
      </c>
      <c r="I29">
        <f>2*1.2*(2.5+2.5)</f>
        <v>12</v>
      </c>
      <c r="L29">
        <f>Constants!$B$2</f>
        <v>2.8</v>
      </c>
      <c r="M29" t="str">
        <f t="shared" si="0"/>
        <v>N/A</v>
      </c>
      <c r="N29">
        <f>P29*Constants!$E$2</f>
        <v>0</v>
      </c>
      <c r="P29">
        <f t="shared" si="7"/>
        <v>0</v>
      </c>
      <c r="Q29">
        <f>P29*Constants!$B$3</f>
        <v>0</v>
      </c>
      <c r="R29">
        <f t="shared" si="13"/>
        <v>0</v>
      </c>
      <c r="S29">
        <f t="shared" si="8"/>
        <v>12</v>
      </c>
      <c r="T29">
        <f>S29*Constants!$B$2</f>
        <v>33.599999999999994</v>
      </c>
      <c r="V29">
        <f t="shared" si="9"/>
        <v>0</v>
      </c>
      <c r="W29">
        <f t="shared" si="10"/>
        <v>0</v>
      </c>
      <c r="AA29" s="8"/>
      <c r="AJ29" s="4"/>
    </row>
    <row r="30" spans="1:36" x14ac:dyDescent="0.25">
      <c r="A30">
        <v>29</v>
      </c>
      <c r="B30">
        <v>9</v>
      </c>
      <c r="C30" t="s">
        <v>917</v>
      </c>
      <c r="D30" s="16" t="s">
        <v>770</v>
      </c>
      <c r="E30" s="16"/>
      <c r="F30">
        <v>15.15</v>
      </c>
      <c r="G30">
        <v>90</v>
      </c>
      <c r="H30">
        <v>6.9</v>
      </c>
      <c r="I30">
        <f>2*1.2*(3+4)</f>
        <v>16.8</v>
      </c>
      <c r="L30">
        <f>Constants!$B$2</f>
        <v>2.8</v>
      </c>
      <c r="M30">
        <f t="shared" si="0"/>
        <v>90</v>
      </c>
      <c r="N30">
        <f>P30*Constants!$E$2</f>
        <v>11.73</v>
      </c>
      <c r="P30">
        <f t="shared" si="7"/>
        <v>6.9</v>
      </c>
      <c r="Q30">
        <f>P30*Constants!$B$3</f>
        <v>28.979999999999997</v>
      </c>
      <c r="R30">
        <f t="shared" si="13"/>
        <v>17.249999999999996</v>
      </c>
      <c r="S30">
        <f t="shared" si="8"/>
        <v>9.9</v>
      </c>
      <c r="T30">
        <f>S30*Constants!$B$2</f>
        <v>27.72</v>
      </c>
      <c r="V30">
        <f t="shared" si="9"/>
        <v>0</v>
      </c>
      <c r="W30">
        <f t="shared" si="10"/>
        <v>0</v>
      </c>
      <c r="AA30" s="8"/>
      <c r="AJ30" s="4"/>
    </row>
    <row r="31" spans="1:36" x14ac:dyDescent="0.25">
      <c r="A31">
        <v>30</v>
      </c>
      <c r="B31">
        <v>9</v>
      </c>
      <c r="C31" t="s">
        <v>55</v>
      </c>
      <c r="D31" s="16" t="s">
        <v>771</v>
      </c>
      <c r="E31" s="16"/>
      <c r="F31">
        <v>30.23</v>
      </c>
      <c r="G31" t="s">
        <v>44</v>
      </c>
      <c r="H31">
        <v>0</v>
      </c>
      <c r="I31">
        <f>2*1.2*(5+4)</f>
        <v>21.599999999999998</v>
      </c>
      <c r="L31">
        <f>Constants!$B$2</f>
        <v>2.8</v>
      </c>
      <c r="M31" t="str">
        <f t="shared" si="0"/>
        <v>N/A</v>
      </c>
      <c r="N31">
        <f>P31*Constants!$E$2</f>
        <v>0</v>
      </c>
      <c r="P31">
        <f t="shared" si="7"/>
        <v>0</v>
      </c>
      <c r="Q31">
        <f>P31*Constants!$B$3</f>
        <v>0</v>
      </c>
      <c r="R31">
        <f t="shared" si="13"/>
        <v>0</v>
      </c>
      <c r="S31">
        <f t="shared" si="8"/>
        <v>21.599999999999998</v>
      </c>
      <c r="T31">
        <f>S31*Constants!$B$2</f>
        <v>60.47999999999999</v>
      </c>
      <c r="V31">
        <f t="shared" si="9"/>
        <v>0</v>
      </c>
      <c r="W31">
        <f t="shared" si="10"/>
        <v>0</v>
      </c>
      <c r="AA31" s="8"/>
      <c r="AJ31" s="4"/>
    </row>
    <row r="32" spans="1:36" x14ac:dyDescent="0.25">
      <c r="A32">
        <v>31</v>
      </c>
      <c r="B32">
        <v>9</v>
      </c>
      <c r="C32" t="s">
        <v>917</v>
      </c>
      <c r="D32" s="16" t="s">
        <v>772</v>
      </c>
      <c r="E32" s="16"/>
      <c r="F32">
        <v>16.13</v>
      </c>
      <c r="G32">
        <v>90</v>
      </c>
      <c r="H32">
        <v>3.6</v>
      </c>
      <c r="I32">
        <f>2*1.2*(3+4)</f>
        <v>16.8</v>
      </c>
      <c r="L32">
        <f>Constants!$B$2</f>
        <v>2.8</v>
      </c>
      <c r="M32">
        <f t="shared" si="0"/>
        <v>90</v>
      </c>
      <c r="N32">
        <f>P32*Constants!$E$2</f>
        <v>6.12</v>
      </c>
      <c r="P32">
        <f t="shared" si="7"/>
        <v>3.6</v>
      </c>
      <c r="Q32">
        <f>P32*Constants!$B$3</f>
        <v>15.119999999999997</v>
      </c>
      <c r="R32">
        <f t="shared" si="13"/>
        <v>8.9999999999999964</v>
      </c>
      <c r="S32">
        <f t="shared" si="8"/>
        <v>13.200000000000001</v>
      </c>
      <c r="T32">
        <f>S32*Constants!$B$2</f>
        <v>36.96</v>
      </c>
      <c r="V32">
        <f t="shared" si="9"/>
        <v>0</v>
      </c>
      <c r="W32">
        <f t="shared" si="10"/>
        <v>0</v>
      </c>
      <c r="AA32" s="8"/>
      <c r="AJ32" s="4"/>
    </row>
    <row r="33" spans="1:36" x14ac:dyDescent="0.25">
      <c r="A33">
        <v>32</v>
      </c>
      <c r="B33">
        <v>9</v>
      </c>
      <c r="C33" t="s">
        <v>917</v>
      </c>
      <c r="D33" s="16" t="s">
        <v>773</v>
      </c>
      <c r="E33" s="16"/>
      <c r="F33">
        <v>8.19</v>
      </c>
      <c r="G33">
        <v>90</v>
      </c>
      <c r="H33">
        <v>3</v>
      </c>
      <c r="I33">
        <f>2*1.2*(2.5+2.5)</f>
        <v>12</v>
      </c>
      <c r="L33">
        <f>Constants!$B$2</f>
        <v>2.8</v>
      </c>
      <c r="M33">
        <f t="shared" si="0"/>
        <v>90</v>
      </c>
      <c r="N33">
        <f>P33*Constants!$E$2</f>
        <v>5.0999999999999996</v>
      </c>
      <c r="P33">
        <f t="shared" si="7"/>
        <v>3</v>
      </c>
      <c r="Q33">
        <f>P33*Constants!$B$3</f>
        <v>12.599999999999998</v>
      </c>
      <c r="R33">
        <f t="shared" si="13"/>
        <v>7.4999999999999982</v>
      </c>
      <c r="S33">
        <f t="shared" si="8"/>
        <v>9</v>
      </c>
      <c r="T33">
        <f>S33*Constants!$B$2</f>
        <v>25.2</v>
      </c>
      <c r="V33">
        <f t="shared" si="9"/>
        <v>0</v>
      </c>
      <c r="W33">
        <f t="shared" si="10"/>
        <v>0</v>
      </c>
      <c r="AA33" s="8"/>
      <c r="AJ33" s="4"/>
    </row>
    <row r="34" spans="1:36" x14ac:dyDescent="0.25">
      <c r="A34">
        <v>33</v>
      </c>
      <c r="B34">
        <v>9</v>
      </c>
      <c r="C34" t="s">
        <v>59</v>
      </c>
      <c r="D34" s="16" t="s">
        <v>774</v>
      </c>
      <c r="E34" s="16"/>
      <c r="F34">
        <v>8.19</v>
      </c>
      <c r="G34">
        <v>90</v>
      </c>
      <c r="H34">
        <v>3</v>
      </c>
      <c r="I34">
        <f>2*1.2*(2.5+2.5)</f>
        <v>12</v>
      </c>
      <c r="L34">
        <f>Constants!$B$2</f>
        <v>2.8</v>
      </c>
      <c r="M34">
        <f t="shared" ref="M34" si="34">IF(N34&gt;0,G34,"N/A")</f>
        <v>90</v>
      </c>
      <c r="N34">
        <f>P34*Constants!$E$2</f>
        <v>5.0999999999999996</v>
      </c>
      <c r="P34">
        <f t="shared" ref="P34" si="35">H34</f>
        <v>3</v>
      </c>
      <c r="Q34">
        <f>P34*Constants!$B$3</f>
        <v>12.599999999999998</v>
      </c>
      <c r="R34">
        <f t="shared" ref="R34" si="36">IF(Q34-N34&lt;=0, 0, Q34-N34)</f>
        <v>7.4999999999999982</v>
      </c>
      <c r="S34">
        <f t="shared" ref="S34" si="37">I34-P34</f>
        <v>9</v>
      </c>
      <c r="T34">
        <f>S34*Constants!$B$2</f>
        <v>25.2</v>
      </c>
      <c r="V34">
        <f t="shared" ref="V34" si="38">IF(B34="E",1,0)</f>
        <v>0</v>
      </c>
      <c r="W34">
        <f t="shared" ref="W34" si="39">IF(B34=10,1,0)</f>
        <v>0</v>
      </c>
      <c r="AA34" s="8"/>
      <c r="AJ34" s="4"/>
    </row>
    <row r="35" spans="1:36" x14ac:dyDescent="0.25">
      <c r="A35">
        <v>34</v>
      </c>
      <c r="B35">
        <v>9</v>
      </c>
      <c r="C35" t="s">
        <v>917</v>
      </c>
      <c r="D35" s="16" t="s">
        <v>775</v>
      </c>
      <c r="E35" s="16"/>
      <c r="F35">
        <v>15.98</v>
      </c>
      <c r="G35">
        <v>90</v>
      </c>
      <c r="H35">
        <v>3.6</v>
      </c>
      <c r="I35">
        <f>2*1.2*(3+4)</f>
        <v>16.8</v>
      </c>
      <c r="L35">
        <f>Constants!$B$2</f>
        <v>2.8</v>
      </c>
      <c r="M35">
        <f t="shared" si="0"/>
        <v>90</v>
      </c>
      <c r="N35">
        <f>P35*Constants!$E$2</f>
        <v>6.12</v>
      </c>
      <c r="P35">
        <f t="shared" si="7"/>
        <v>3.6</v>
      </c>
      <c r="Q35">
        <f>P35*Constants!$B$3</f>
        <v>15.119999999999997</v>
      </c>
      <c r="R35">
        <f t="shared" si="13"/>
        <v>8.9999999999999964</v>
      </c>
      <c r="S35">
        <f t="shared" si="8"/>
        <v>13.200000000000001</v>
      </c>
      <c r="T35">
        <f>S35*Constants!$B$2</f>
        <v>36.96</v>
      </c>
      <c r="V35">
        <f t="shared" si="9"/>
        <v>0</v>
      </c>
      <c r="W35">
        <f t="shared" si="10"/>
        <v>0</v>
      </c>
      <c r="AA35" s="8"/>
      <c r="AJ35" s="4"/>
    </row>
    <row r="36" spans="1:36" x14ac:dyDescent="0.25">
      <c r="A36">
        <v>35</v>
      </c>
      <c r="B36">
        <v>9</v>
      </c>
      <c r="C36" t="s">
        <v>67</v>
      </c>
      <c r="D36" s="16" t="s">
        <v>776</v>
      </c>
      <c r="E36" s="16"/>
      <c r="F36">
        <v>10.1</v>
      </c>
      <c r="G36" t="s">
        <v>44</v>
      </c>
      <c r="H36">
        <v>0</v>
      </c>
      <c r="I36">
        <f>2*1.2*(3+2.5)</f>
        <v>13.2</v>
      </c>
      <c r="L36">
        <f>Constants!$B$2</f>
        <v>2.8</v>
      </c>
      <c r="M36" t="str">
        <f t="shared" si="0"/>
        <v>N/A</v>
      </c>
      <c r="N36">
        <f>P36*Constants!$E$2</f>
        <v>0</v>
      </c>
      <c r="P36">
        <f t="shared" si="7"/>
        <v>0</v>
      </c>
      <c r="Q36">
        <f>P36*Constants!$B$3</f>
        <v>0</v>
      </c>
      <c r="R36">
        <f t="shared" si="13"/>
        <v>0</v>
      </c>
      <c r="S36">
        <f t="shared" si="8"/>
        <v>13.2</v>
      </c>
      <c r="T36">
        <f>S36*Constants!$B$2</f>
        <v>36.959999999999994</v>
      </c>
      <c r="V36">
        <f t="shared" si="9"/>
        <v>0</v>
      </c>
      <c r="W36">
        <f t="shared" si="10"/>
        <v>0</v>
      </c>
      <c r="AA36" s="8"/>
      <c r="AJ36" s="4"/>
    </row>
    <row r="37" spans="1:36" x14ac:dyDescent="0.25">
      <c r="A37">
        <v>36</v>
      </c>
      <c r="B37">
        <v>9</v>
      </c>
      <c r="C37" t="s">
        <v>64</v>
      </c>
      <c r="D37" s="16" t="s">
        <v>777</v>
      </c>
      <c r="E37" s="16"/>
      <c r="F37">
        <v>1.83</v>
      </c>
      <c r="G37" t="s">
        <v>44</v>
      </c>
      <c r="H37">
        <v>0</v>
      </c>
      <c r="I37">
        <f>2*1.2*(1.5+1)</f>
        <v>6</v>
      </c>
      <c r="L37">
        <f>Constants!$B$2</f>
        <v>2.8</v>
      </c>
      <c r="M37" t="str">
        <f t="shared" si="0"/>
        <v>N/A</v>
      </c>
      <c r="N37">
        <f>P37*Constants!$E$2</f>
        <v>0</v>
      </c>
      <c r="P37">
        <f t="shared" si="7"/>
        <v>0</v>
      </c>
      <c r="Q37">
        <f>P37*Constants!$B$3</f>
        <v>0</v>
      </c>
      <c r="R37">
        <f t="shared" si="13"/>
        <v>0</v>
      </c>
      <c r="S37">
        <f t="shared" si="8"/>
        <v>6</v>
      </c>
      <c r="T37">
        <f>S37*Constants!$B$2</f>
        <v>16.799999999999997</v>
      </c>
      <c r="V37">
        <f t="shared" si="9"/>
        <v>0</v>
      </c>
      <c r="W37">
        <f t="shared" si="10"/>
        <v>0</v>
      </c>
      <c r="AA37" s="8"/>
      <c r="AJ37" s="4"/>
    </row>
    <row r="38" spans="1:36" x14ac:dyDescent="0.25">
      <c r="A38">
        <v>37</v>
      </c>
      <c r="B38">
        <v>9</v>
      </c>
      <c r="C38" t="s">
        <v>55</v>
      </c>
      <c r="D38" s="16" t="s">
        <v>778</v>
      </c>
      <c r="F38">
        <v>50.58</v>
      </c>
      <c r="G38" t="s">
        <v>44</v>
      </c>
      <c r="H38">
        <v>0</v>
      </c>
      <c r="I38">
        <f>2*1.2*(11+4)</f>
        <v>36</v>
      </c>
      <c r="L38">
        <f>Constants!$B$2</f>
        <v>2.8</v>
      </c>
      <c r="M38" t="str">
        <f t="shared" si="0"/>
        <v>N/A</v>
      </c>
      <c r="N38">
        <f>P38*Constants!$E$2</f>
        <v>0</v>
      </c>
      <c r="P38">
        <f t="shared" si="7"/>
        <v>0</v>
      </c>
      <c r="Q38">
        <f>P38*Constants!$B$3</f>
        <v>0</v>
      </c>
      <c r="R38">
        <f t="shared" si="13"/>
        <v>0</v>
      </c>
      <c r="S38">
        <f t="shared" si="8"/>
        <v>36</v>
      </c>
      <c r="T38">
        <f>S38*Constants!$B$2</f>
        <v>100.8</v>
      </c>
      <c r="V38">
        <f t="shared" si="9"/>
        <v>0</v>
      </c>
      <c r="W38">
        <f t="shared" si="10"/>
        <v>0</v>
      </c>
      <c r="AA38" s="8"/>
      <c r="AJ38" s="4"/>
    </row>
    <row r="39" spans="1:36" x14ac:dyDescent="0.25">
      <c r="A39">
        <v>38</v>
      </c>
      <c r="B39">
        <v>9</v>
      </c>
      <c r="C39" t="s">
        <v>917</v>
      </c>
      <c r="D39" s="16" t="s">
        <v>779</v>
      </c>
      <c r="F39">
        <v>32.1</v>
      </c>
      <c r="G39">
        <v>90</v>
      </c>
      <c r="H39">
        <f>6*1.2</f>
        <v>7.1999999999999993</v>
      </c>
      <c r="I39">
        <f>2*1.2*(4+6)</f>
        <v>24</v>
      </c>
      <c r="L39">
        <f>Constants!$B$2</f>
        <v>2.8</v>
      </c>
      <c r="M39">
        <f t="shared" si="0"/>
        <v>90</v>
      </c>
      <c r="N39">
        <f>P39*Constants!$E$2</f>
        <v>12.239999999999998</v>
      </c>
      <c r="P39">
        <f t="shared" si="7"/>
        <v>7.1999999999999993</v>
      </c>
      <c r="Q39">
        <f>P39*Constants!$B$3</f>
        <v>30.239999999999991</v>
      </c>
      <c r="R39">
        <f t="shared" si="13"/>
        <v>17.999999999999993</v>
      </c>
      <c r="S39">
        <f t="shared" si="8"/>
        <v>16.8</v>
      </c>
      <c r="T39">
        <f>S39*Constants!$B$2</f>
        <v>47.04</v>
      </c>
      <c r="V39">
        <f t="shared" si="9"/>
        <v>0</v>
      </c>
      <c r="W39">
        <f t="shared" si="10"/>
        <v>0</v>
      </c>
      <c r="AA39" s="8"/>
      <c r="AJ39" s="4"/>
    </row>
    <row r="40" spans="1:36" x14ac:dyDescent="0.25">
      <c r="A40">
        <v>39</v>
      </c>
      <c r="B40">
        <v>9</v>
      </c>
      <c r="C40" t="s">
        <v>917</v>
      </c>
      <c r="D40" s="16" t="s">
        <v>780</v>
      </c>
      <c r="E40" s="16"/>
      <c r="F40">
        <v>8.19</v>
      </c>
      <c r="G40">
        <v>90</v>
      </c>
      <c r="H40">
        <v>3</v>
      </c>
      <c r="I40">
        <f>2*1.2*(2.5+2.5)</f>
        <v>12</v>
      </c>
      <c r="L40">
        <f>Constants!$B$2</f>
        <v>2.8</v>
      </c>
      <c r="M40">
        <f t="shared" ref="M40" si="40">IF(N40&gt;0,G40,"N/A")</f>
        <v>90</v>
      </c>
      <c r="N40">
        <f>P40*Constants!$E$2</f>
        <v>5.0999999999999996</v>
      </c>
      <c r="P40">
        <f t="shared" ref="P40" si="41">H40</f>
        <v>3</v>
      </c>
      <c r="Q40">
        <f>P40*Constants!$B$3</f>
        <v>12.599999999999998</v>
      </c>
      <c r="R40">
        <f t="shared" ref="R40" si="42">IF(Q40-N40&lt;=0, 0, Q40-N40)</f>
        <v>7.4999999999999982</v>
      </c>
      <c r="S40">
        <f t="shared" ref="S40" si="43">I40-P40</f>
        <v>9</v>
      </c>
      <c r="T40">
        <f>S40*Constants!$B$2</f>
        <v>25.2</v>
      </c>
      <c r="V40">
        <f t="shared" ref="V40" si="44">IF(B40="E",1,0)</f>
        <v>0</v>
      </c>
      <c r="W40">
        <f t="shared" ref="W40" si="45">IF(B40=10,1,0)</f>
        <v>0</v>
      </c>
      <c r="AA40" s="8"/>
      <c r="AJ40" s="4"/>
    </row>
    <row r="41" spans="1:36" x14ac:dyDescent="0.25">
      <c r="A41">
        <v>40</v>
      </c>
      <c r="B41">
        <v>9</v>
      </c>
      <c r="C41" t="s">
        <v>917</v>
      </c>
      <c r="D41" s="16" t="s">
        <v>781</v>
      </c>
      <c r="E41" s="16"/>
      <c r="F41">
        <v>8.19</v>
      </c>
      <c r="G41">
        <v>90</v>
      </c>
      <c r="H41">
        <v>3</v>
      </c>
      <c r="I41">
        <f>2*1.2*(2.5+2.5)</f>
        <v>12</v>
      </c>
      <c r="L41">
        <f>Constants!$B$2</f>
        <v>2.8</v>
      </c>
      <c r="M41">
        <f t="shared" ref="M41" si="46">IF(N41&gt;0,G41,"N/A")</f>
        <v>90</v>
      </c>
      <c r="N41">
        <f>P41*Constants!$E$2</f>
        <v>5.0999999999999996</v>
      </c>
      <c r="P41">
        <f t="shared" ref="P41" si="47">H41</f>
        <v>3</v>
      </c>
      <c r="Q41">
        <f>P41*Constants!$B$3</f>
        <v>12.599999999999998</v>
      </c>
      <c r="R41">
        <f t="shared" ref="R41" si="48">IF(Q41-N41&lt;=0, 0, Q41-N41)</f>
        <v>7.4999999999999982</v>
      </c>
      <c r="S41">
        <f t="shared" ref="S41" si="49">I41-P41</f>
        <v>9</v>
      </c>
      <c r="T41">
        <f>S41*Constants!$B$2</f>
        <v>25.2</v>
      </c>
      <c r="V41">
        <f t="shared" ref="V41" si="50">IF(B41="E",1,0)</f>
        <v>0</v>
      </c>
      <c r="W41">
        <f t="shared" ref="W41" si="51">IF(B41=10,1,0)</f>
        <v>0</v>
      </c>
      <c r="AA41" s="8"/>
      <c r="AJ41" s="4"/>
    </row>
    <row r="42" spans="1:36" x14ac:dyDescent="0.25">
      <c r="A42">
        <v>41</v>
      </c>
      <c r="B42">
        <v>9</v>
      </c>
      <c r="C42" t="s">
        <v>917</v>
      </c>
      <c r="D42" s="16" t="s">
        <v>782</v>
      </c>
      <c r="E42" s="16"/>
      <c r="F42">
        <v>15.98</v>
      </c>
      <c r="G42">
        <v>90</v>
      </c>
      <c r="H42">
        <v>3.6</v>
      </c>
      <c r="I42">
        <f>2*1.2*(3+4)</f>
        <v>16.8</v>
      </c>
      <c r="L42">
        <f>Constants!$B$2</f>
        <v>2.8</v>
      </c>
      <c r="M42">
        <f t="shared" ref="M42" si="52">IF(N42&gt;0,G42,"N/A")</f>
        <v>90</v>
      </c>
      <c r="N42">
        <f>P42*Constants!$E$2</f>
        <v>6.12</v>
      </c>
      <c r="P42">
        <f t="shared" ref="P42" si="53">H42</f>
        <v>3.6</v>
      </c>
      <c r="Q42">
        <f>P42*Constants!$B$3</f>
        <v>15.119999999999997</v>
      </c>
      <c r="R42">
        <f t="shared" ref="R42" si="54">IF(Q42-N42&lt;=0, 0, Q42-N42)</f>
        <v>8.9999999999999964</v>
      </c>
      <c r="S42">
        <f t="shared" ref="S42" si="55">I42-P42</f>
        <v>13.200000000000001</v>
      </c>
      <c r="T42">
        <f>S42*Constants!$B$2</f>
        <v>36.96</v>
      </c>
      <c r="V42">
        <f t="shared" ref="V42" si="56">IF(B42="E",1,0)</f>
        <v>0</v>
      </c>
      <c r="W42">
        <f t="shared" ref="W42" si="57">IF(B42=10,1,0)</f>
        <v>0</v>
      </c>
      <c r="AA42" s="8"/>
      <c r="AJ42" s="4"/>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4"/>
    </row>
    <row r="445" spans="4:4" x14ac:dyDescent="0.25">
      <c r="D445" s="14"/>
    </row>
    <row r="446" spans="4:4" x14ac:dyDescent="0.25">
      <c r="D446" s="13"/>
    </row>
    <row r="447" spans="4:4" x14ac:dyDescent="0.25">
      <c r="D447" s="13"/>
    </row>
    <row r="448" spans="4:4" x14ac:dyDescent="0.25">
      <c r="D448" s="13"/>
    </row>
    <row r="449" spans="4:4" x14ac:dyDescent="0.25">
      <c r="D449" s="13"/>
    </row>
    <row r="450" spans="4:4" x14ac:dyDescent="0.25">
      <c r="D450" s="13"/>
    </row>
    <row r="451" spans="4:4" x14ac:dyDescent="0.25">
      <c r="D451" s="13"/>
    </row>
    <row r="452" spans="4:4" x14ac:dyDescent="0.25">
      <c r="D452" s="13"/>
    </row>
    <row r="453" spans="4:4" x14ac:dyDescent="0.25">
      <c r="D453" s="13"/>
    </row>
  </sheetData>
  <phoneticPr fontId="5" type="noConversion"/>
  <pageMargins left="0.7" right="0.7" top="0.78740157499999996" bottom="0.78740157499999996" header="0.3" footer="0.3"/>
  <pageSetup paperSize="9"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7"/>
  <sheetViews>
    <sheetView zoomScaleNormal="100" workbookViewId="0">
      <pane xSplit="4" ySplit="1" topLeftCell="H2" activePane="bottomRight" state="frozen"/>
      <selection pane="topRight" activeCell="F1" sqref="F1"/>
      <selection pane="bottomLeft" activeCell="A2" sqref="A2"/>
      <selection pane="bottomRight" activeCell="D4" sqref="D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59</v>
      </c>
      <c r="D2" s="16" t="s">
        <v>783</v>
      </c>
      <c r="F2">
        <v>27.31</v>
      </c>
      <c r="G2" t="s">
        <v>44</v>
      </c>
      <c r="H2">
        <v>0</v>
      </c>
      <c r="I2">
        <f>2*1.2*(5+4)</f>
        <v>21.599999999999998</v>
      </c>
      <c r="L2">
        <f>Constants!$B$2</f>
        <v>2.8</v>
      </c>
      <c r="M2" t="str">
        <f t="shared" ref="M2:M46" si="0">IF(N2&gt;0,G2,"N/A")</f>
        <v>N/A</v>
      </c>
      <c r="N2">
        <f>P2*Constants!$E$2</f>
        <v>0</v>
      </c>
      <c r="P2">
        <f>H2</f>
        <v>0</v>
      </c>
      <c r="Q2">
        <f>P2*Constants!$B$3</f>
        <v>0</v>
      </c>
      <c r="R2">
        <f>IF(Q2-N2&lt;=0, 0, Q2-N2)</f>
        <v>0</v>
      </c>
      <c r="S2">
        <f>I2-P2</f>
        <v>21.599999999999998</v>
      </c>
      <c r="T2">
        <f>S2*Constants!$B$2</f>
        <v>60.47999999999999</v>
      </c>
      <c r="V2">
        <f>IF(B2="E",1,0)</f>
        <v>0</v>
      </c>
      <c r="W2">
        <f>IF(B2=10,1,0)</f>
        <v>0</v>
      </c>
      <c r="AA2" s="8"/>
      <c r="AJ2" s="4"/>
    </row>
    <row r="3" spans="1:40" x14ac:dyDescent="0.25">
      <c r="A3">
        <v>2</v>
      </c>
      <c r="B3">
        <v>9</v>
      </c>
      <c r="C3" t="s">
        <v>49</v>
      </c>
      <c r="D3" s="16" t="s">
        <v>784</v>
      </c>
      <c r="F3">
        <v>24.76</v>
      </c>
      <c r="G3" t="s">
        <v>44</v>
      </c>
      <c r="H3">
        <v>0</v>
      </c>
      <c r="I3">
        <f>2*(7.8+3.6)</f>
        <v>22.8</v>
      </c>
      <c r="L3">
        <f>Constants!$B$2</f>
        <v>2.8</v>
      </c>
      <c r="M3" t="str">
        <f t="shared" si="0"/>
        <v>N/A</v>
      </c>
      <c r="N3">
        <f>P3*Constants!$E$2</f>
        <v>0</v>
      </c>
      <c r="P3">
        <f t="shared" ref="P3:P46" si="1">H3</f>
        <v>0</v>
      </c>
      <c r="Q3">
        <f>P3*Constants!$B$3</f>
        <v>0</v>
      </c>
      <c r="R3">
        <f>IF(Q3-N3&lt;=0, 0, Q3-N3)</f>
        <v>0</v>
      </c>
      <c r="S3">
        <f t="shared" ref="S3:S46" si="2">I3-P3</f>
        <v>22.8</v>
      </c>
      <c r="T3">
        <f>S3*Constants!$B$2</f>
        <v>63.839999999999996</v>
      </c>
      <c r="V3">
        <f t="shared" ref="V3:V46" si="3">IF(B3="E",1,0)</f>
        <v>0</v>
      </c>
      <c r="W3">
        <f t="shared" ref="W3:W46" si="4">IF(B3=10,1,0)</f>
        <v>0</v>
      </c>
      <c r="AA3" s="8"/>
      <c r="AJ3" s="4"/>
    </row>
    <row r="4" spans="1:40" x14ac:dyDescent="0.25">
      <c r="A4">
        <v>3</v>
      </c>
      <c r="B4">
        <v>9</v>
      </c>
      <c r="C4" t="s">
        <v>57</v>
      </c>
      <c r="D4" s="16" t="s">
        <v>785</v>
      </c>
      <c r="E4" s="16" t="s">
        <v>784</v>
      </c>
      <c r="F4">
        <f>1.2*2.1*1.2</f>
        <v>3.024</v>
      </c>
      <c r="G4" t="s">
        <v>44</v>
      </c>
      <c r="H4">
        <v>0</v>
      </c>
      <c r="I4">
        <v>7.44</v>
      </c>
      <c r="L4">
        <f>Constants!$B$2</f>
        <v>2.8</v>
      </c>
      <c r="M4" t="str">
        <f t="shared" si="0"/>
        <v>N/A</v>
      </c>
      <c r="N4">
        <f>P4*Constants!$E$2</f>
        <v>0</v>
      </c>
      <c r="P4">
        <f>H4</f>
        <v>0</v>
      </c>
      <c r="Q4">
        <f>P4*Constants!$B$3</f>
        <v>0</v>
      </c>
      <c r="R4">
        <f t="shared" ref="R4:R46" si="5">IF(Q4-N4&lt;=0, 0, Q4-N4)</f>
        <v>0</v>
      </c>
      <c r="S4">
        <f>I4-P4</f>
        <v>7.44</v>
      </c>
      <c r="T4">
        <f>S4*Constants!$B$2</f>
        <v>20.832000000000001</v>
      </c>
      <c r="V4">
        <f>IF(B4="E",1,0)</f>
        <v>0</v>
      </c>
      <c r="W4">
        <f>IF(B4=10,1,0)</f>
        <v>0</v>
      </c>
      <c r="AA4" s="8"/>
      <c r="AJ4" s="4"/>
    </row>
    <row r="5" spans="1:40" x14ac:dyDescent="0.25">
      <c r="A5">
        <v>4</v>
      </c>
      <c r="B5">
        <v>9</v>
      </c>
      <c r="C5" t="s">
        <v>49</v>
      </c>
      <c r="D5" s="16" t="s">
        <v>786</v>
      </c>
      <c r="F5">
        <v>24.58</v>
      </c>
      <c r="G5">
        <v>270</v>
      </c>
      <c r="H5">
        <v>3.6</v>
      </c>
      <c r="I5">
        <f>2*(7.8+3.6)</f>
        <v>22.8</v>
      </c>
      <c r="L5">
        <f>Constants!$B$2</f>
        <v>2.8</v>
      </c>
      <c r="M5">
        <f t="shared" si="0"/>
        <v>270</v>
      </c>
      <c r="N5">
        <f>P5*Constants!$E$2</f>
        <v>6.12</v>
      </c>
      <c r="P5">
        <f t="shared" si="1"/>
        <v>3.6</v>
      </c>
      <c r="Q5">
        <f>P5*Constants!$B$3</f>
        <v>15.119999999999997</v>
      </c>
      <c r="R5">
        <f t="shared" si="5"/>
        <v>8.9999999999999964</v>
      </c>
      <c r="S5">
        <f t="shared" si="2"/>
        <v>19.2</v>
      </c>
      <c r="T5">
        <f>S5*Constants!$B$2</f>
        <v>53.76</v>
      </c>
      <c r="V5">
        <f t="shared" si="3"/>
        <v>0</v>
      </c>
      <c r="W5">
        <f t="shared" si="4"/>
        <v>0</v>
      </c>
      <c r="AA5" s="8"/>
      <c r="AJ5" s="4"/>
    </row>
    <row r="6" spans="1:40" x14ac:dyDescent="0.25">
      <c r="A6">
        <v>5</v>
      </c>
      <c r="B6">
        <v>9</v>
      </c>
      <c r="C6" t="s">
        <v>57</v>
      </c>
      <c r="D6" s="16" t="s">
        <v>787</v>
      </c>
      <c r="E6" s="16" t="s">
        <v>786</v>
      </c>
      <c r="F6">
        <v>3.71</v>
      </c>
      <c r="G6" t="s">
        <v>44</v>
      </c>
      <c r="H6">
        <v>0</v>
      </c>
      <c r="I6">
        <v>7.44</v>
      </c>
      <c r="L6">
        <f>Constants!$B$2</f>
        <v>2.8</v>
      </c>
      <c r="M6" t="str">
        <f t="shared" si="0"/>
        <v>N/A</v>
      </c>
      <c r="N6">
        <f>P6*Constants!$E$2</f>
        <v>0</v>
      </c>
      <c r="P6">
        <f>H6</f>
        <v>0</v>
      </c>
      <c r="Q6">
        <f>P6*Constants!$B$3</f>
        <v>0</v>
      </c>
      <c r="R6">
        <f t="shared" si="5"/>
        <v>0</v>
      </c>
      <c r="S6">
        <f>I6-P6</f>
        <v>7.44</v>
      </c>
      <c r="T6">
        <f>S6*Constants!$B$2</f>
        <v>20.832000000000001</v>
      </c>
      <c r="V6">
        <f>IF(B6="E",1,0)</f>
        <v>0</v>
      </c>
      <c r="W6">
        <f>IF(B6=10,1,0)</f>
        <v>0</v>
      </c>
      <c r="AA6" s="8"/>
      <c r="AJ6" s="4"/>
    </row>
    <row r="7" spans="1:40" x14ac:dyDescent="0.25">
      <c r="A7">
        <v>6</v>
      </c>
      <c r="B7">
        <v>9</v>
      </c>
      <c r="C7" t="s">
        <v>49</v>
      </c>
      <c r="D7" s="16" t="s">
        <v>788</v>
      </c>
      <c r="F7">
        <v>24.58</v>
      </c>
      <c r="G7">
        <v>270</v>
      </c>
      <c r="H7">
        <v>3.6</v>
      </c>
      <c r="I7">
        <f>2*(7.8+3.6)</f>
        <v>22.8</v>
      </c>
      <c r="L7">
        <f>Constants!$B$2</f>
        <v>2.8</v>
      </c>
      <c r="M7">
        <f t="shared" si="0"/>
        <v>270</v>
      </c>
      <c r="N7">
        <f>P7*Constants!$E$2</f>
        <v>6.12</v>
      </c>
      <c r="P7">
        <f t="shared" ref="P7:P8" si="6">H7</f>
        <v>3.6</v>
      </c>
      <c r="Q7">
        <f>P7*Constants!$B$3</f>
        <v>15.119999999999997</v>
      </c>
      <c r="R7">
        <f t="shared" si="5"/>
        <v>8.9999999999999964</v>
      </c>
      <c r="S7">
        <f t="shared" ref="S7:S8" si="7">I7-P7</f>
        <v>19.2</v>
      </c>
      <c r="T7">
        <f>S7*Constants!$B$2</f>
        <v>53.76</v>
      </c>
      <c r="V7">
        <f t="shared" ref="V7:V8" si="8">IF(B7="E",1,0)</f>
        <v>0</v>
      </c>
      <c r="W7">
        <f t="shared" ref="W7:W8" si="9">IF(B7=10,1,0)</f>
        <v>0</v>
      </c>
      <c r="AA7" s="8"/>
      <c r="AJ7" s="4"/>
    </row>
    <row r="8" spans="1:40" x14ac:dyDescent="0.25">
      <c r="A8">
        <v>7</v>
      </c>
      <c r="B8">
        <v>9</v>
      </c>
      <c r="C8" t="s">
        <v>57</v>
      </c>
      <c r="D8" s="16" t="s">
        <v>789</v>
      </c>
      <c r="E8" s="16" t="s">
        <v>788</v>
      </c>
      <c r="F8">
        <v>3.71</v>
      </c>
      <c r="G8" t="s">
        <v>44</v>
      </c>
      <c r="H8">
        <v>0</v>
      </c>
      <c r="I8">
        <v>7.44</v>
      </c>
      <c r="L8">
        <f>Constants!$B$2</f>
        <v>2.8</v>
      </c>
      <c r="M8" t="str">
        <f t="shared" si="0"/>
        <v>N/A</v>
      </c>
      <c r="N8">
        <f>P8*Constants!$E$2</f>
        <v>0</v>
      </c>
      <c r="P8">
        <f t="shared" si="6"/>
        <v>0</v>
      </c>
      <c r="Q8">
        <f>P8*Constants!$B$3</f>
        <v>0</v>
      </c>
      <c r="R8">
        <f t="shared" si="5"/>
        <v>0</v>
      </c>
      <c r="S8">
        <f t="shared" si="7"/>
        <v>7.44</v>
      </c>
      <c r="T8">
        <f>S8*Constants!$B$2</f>
        <v>20.832000000000001</v>
      </c>
      <c r="V8">
        <f t="shared" si="8"/>
        <v>0</v>
      </c>
      <c r="W8">
        <f t="shared" si="9"/>
        <v>0</v>
      </c>
      <c r="AA8" s="8"/>
      <c r="AJ8" s="4"/>
    </row>
    <row r="9" spans="1:40" x14ac:dyDescent="0.25">
      <c r="A9">
        <v>8</v>
      </c>
      <c r="B9">
        <v>9</v>
      </c>
      <c r="C9" t="s">
        <v>49</v>
      </c>
      <c r="D9" s="16" t="s">
        <v>790</v>
      </c>
      <c r="F9">
        <v>12.56</v>
      </c>
      <c r="G9">
        <v>270</v>
      </c>
      <c r="H9">
        <v>3</v>
      </c>
      <c r="I9">
        <f>2*1.2*(4+2.5)</f>
        <v>15.6</v>
      </c>
      <c r="L9">
        <f>Constants!$B$2</f>
        <v>2.8</v>
      </c>
      <c r="M9">
        <f t="shared" si="0"/>
        <v>270</v>
      </c>
      <c r="N9">
        <f>P9*Constants!$E$2</f>
        <v>5.0999999999999996</v>
      </c>
      <c r="P9">
        <f t="shared" si="1"/>
        <v>3</v>
      </c>
      <c r="Q9">
        <f>P9*Constants!$B$3</f>
        <v>12.599999999999998</v>
      </c>
      <c r="R9">
        <f t="shared" si="5"/>
        <v>7.4999999999999982</v>
      </c>
      <c r="S9">
        <f t="shared" si="2"/>
        <v>12.6</v>
      </c>
      <c r="T9">
        <f>S9*Constants!$B$2</f>
        <v>35.279999999999994</v>
      </c>
      <c r="V9">
        <f t="shared" si="3"/>
        <v>0</v>
      </c>
      <c r="W9">
        <f t="shared" si="4"/>
        <v>0</v>
      </c>
      <c r="AA9" s="8"/>
      <c r="AJ9" s="4"/>
    </row>
    <row r="10" spans="1:40" x14ac:dyDescent="0.25">
      <c r="A10">
        <v>9</v>
      </c>
      <c r="B10">
        <v>9</v>
      </c>
      <c r="C10" t="s">
        <v>49</v>
      </c>
      <c r="D10" s="16" t="s">
        <v>791</v>
      </c>
      <c r="F10">
        <v>25.06</v>
      </c>
      <c r="G10">
        <v>270</v>
      </c>
      <c r="H10">
        <v>3</v>
      </c>
      <c r="I10">
        <f>2*1.2*(6.5+4)</f>
        <v>25.2</v>
      </c>
      <c r="L10">
        <f>Constants!$B$2</f>
        <v>2.8</v>
      </c>
      <c r="M10">
        <f t="shared" ref="M10:M11" si="10">IF(N10&gt;0,G10,"N/A")</f>
        <v>270</v>
      </c>
      <c r="N10">
        <f>P10*Constants!$E$2</f>
        <v>5.0999999999999996</v>
      </c>
      <c r="P10">
        <f t="shared" si="1"/>
        <v>3</v>
      </c>
      <c r="Q10">
        <f>P10*Constants!$B$3</f>
        <v>12.599999999999998</v>
      </c>
      <c r="R10">
        <f t="shared" ref="R10:R11" si="11">IF(Q10-N10&lt;=0, 0, Q10-N10)</f>
        <v>7.4999999999999982</v>
      </c>
      <c r="S10">
        <f t="shared" si="2"/>
        <v>22.2</v>
      </c>
      <c r="T10">
        <f>S10*Constants!$B$2</f>
        <v>62.16</v>
      </c>
      <c r="V10">
        <f t="shared" si="3"/>
        <v>0</v>
      </c>
      <c r="W10">
        <f t="shared" si="4"/>
        <v>0</v>
      </c>
      <c r="AA10" s="8"/>
      <c r="AJ10" s="4"/>
    </row>
    <row r="11" spans="1:40" x14ac:dyDescent="0.25">
      <c r="A11">
        <v>10</v>
      </c>
      <c r="B11">
        <v>9</v>
      </c>
      <c r="C11" t="s">
        <v>57</v>
      </c>
      <c r="D11" s="16" t="s">
        <v>792</v>
      </c>
      <c r="E11" s="16" t="s">
        <v>791</v>
      </c>
      <c r="F11">
        <v>3.71</v>
      </c>
      <c r="G11" t="s">
        <v>44</v>
      </c>
      <c r="H11">
        <v>0</v>
      </c>
      <c r="I11">
        <v>7.44</v>
      </c>
      <c r="L11">
        <f>Constants!$B$2</f>
        <v>2.8</v>
      </c>
      <c r="M11" t="str">
        <f t="shared" si="10"/>
        <v>N/A</v>
      </c>
      <c r="N11">
        <f>P11*Constants!$E$2</f>
        <v>0</v>
      </c>
      <c r="P11">
        <f t="shared" ref="P11" si="12">H11</f>
        <v>0</v>
      </c>
      <c r="Q11">
        <f>P11*Constants!$B$3</f>
        <v>0</v>
      </c>
      <c r="R11">
        <f t="shared" si="11"/>
        <v>0</v>
      </c>
      <c r="S11">
        <f t="shared" ref="S11" si="13">I11-P11</f>
        <v>7.44</v>
      </c>
      <c r="T11">
        <f>S11*Constants!$B$2</f>
        <v>20.832000000000001</v>
      </c>
      <c r="V11">
        <f t="shared" ref="V11" si="14">IF(B11="E",1,0)</f>
        <v>0</v>
      </c>
      <c r="W11">
        <f t="shared" ref="W11" si="15">IF(B11=10,1,0)</f>
        <v>0</v>
      </c>
      <c r="AA11" s="8"/>
      <c r="AJ11" s="4"/>
    </row>
    <row r="12" spans="1:40" x14ac:dyDescent="0.25">
      <c r="A12">
        <v>11</v>
      </c>
      <c r="B12">
        <v>9</v>
      </c>
      <c r="C12" t="s">
        <v>45</v>
      </c>
      <c r="D12" s="16" t="s">
        <v>793</v>
      </c>
      <c r="E12" s="16"/>
      <c r="F12">
        <v>7.76</v>
      </c>
      <c r="G12" t="s">
        <v>44</v>
      </c>
      <c r="H12">
        <v>0</v>
      </c>
      <c r="I12">
        <f>2*1.2*(2+3)</f>
        <v>12</v>
      </c>
      <c r="L12">
        <f>Constants!$B$2</f>
        <v>2.8</v>
      </c>
      <c r="M12" t="str">
        <f t="shared" si="0"/>
        <v>N/A</v>
      </c>
      <c r="N12">
        <f>P12*Constants!$E$2</f>
        <v>0</v>
      </c>
      <c r="P12">
        <f t="shared" si="1"/>
        <v>0</v>
      </c>
      <c r="Q12">
        <f>P12*Constants!$B$3</f>
        <v>0</v>
      </c>
      <c r="R12">
        <f t="shared" si="5"/>
        <v>0</v>
      </c>
      <c r="S12">
        <f t="shared" si="2"/>
        <v>12</v>
      </c>
      <c r="T12">
        <f>S12*Constants!$B$2</f>
        <v>33.599999999999994</v>
      </c>
      <c r="V12">
        <f t="shared" si="3"/>
        <v>0</v>
      </c>
      <c r="W12">
        <f t="shared" si="4"/>
        <v>0</v>
      </c>
      <c r="AA12" s="8"/>
      <c r="AJ12" s="4"/>
    </row>
    <row r="13" spans="1:40" x14ac:dyDescent="0.25">
      <c r="A13">
        <v>12</v>
      </c>
      <c r="B13">
        <v>9</v>
      </c>
      <c r="C13" t="s">
        <v>49</v>
      </c>
      <c r="D13" s="16" t="s">
        <v>795</v>
      </c>
      <c r="F13">
        <v>11.46</v>
      </c>
      <c r="G13">
        <v>270</v>
      </c>
      <c r="H13">
        <v>3</v>
      </c>
      <c r="I13">
        <f>2*1.2*(2.5+3.5)</f>
        <v>14.399999999999999</v>
      </c>
      <c r="L13">
        <f>Constants!$B$2</f>
        <v>2.8</v>
      </c>
      <c r="M13">
        <f t="shared" si="0"/>
        <v>270</v>
      </c>
      <c r="N13">
        <f>P13*Constants!$E$2</f>
        <v>5.0999999999999996</v>
      </c>
      <c r="P13">
        <f t="shared" si="1"/>
        <v>3</v>
      </c>
      <c r="Q13">
        <f>P13*Constants!$B$3</f>
        <v>12.599999999999998</v>
      </c>
      <c r="R13">
        <f t="shared" si="5"/>
        <v>7.4999999999999982</v>
      </c>
      <c r="S13">
        <f t="shared" si="2"/>
        <v>11.399999999999999</v>
      </c>
      <c r="T13">
        <f>S13*Constants!$B$2</f>
        <v>31.919999999999995</v>
      </c>
      <c r="V13">
        <f t="shared" si="3"/>
        <v>0</v>
      </c>
      <c r="W13">
        <f t="shared" si="4"/>
        <v>0</v>
      </c>
      <c r="AA13" s="8"/>
      <c r="AJ13" s="4"/>
    </row>
    <row r="14" spans="1:40" x14ac:dyDescent="0.25">
      <c r="A14">
        <v>13</v>
      </c>
      <c r="B14">
        <v>9</v>
      </c>
      <c r="C14" t="s">
        <v>49</v>
      </c>
      <c r="D14" s="16" t="s">
        <v>796</v>
      </c>
      <c r="F14">
        <v>26.14</v>
      </c>
      <c r="G14">
        <v>270</v>
      </c>
      <c r="H14">
        <v>3</v>
      </c>
      <c r="I14">
        <f>2*1.2*(6.5+4)</f>
        <v>25.2</v>
      </c>
      <c r="L14">
        <f>Constants!$B$2</f>
        <v>2.8</v>
      </c>
      <c r="M14">
        <f t="shared" si="0"/>
        <v>270</v>
      </c>
      <c r="N14">
        <f>P14*Constants!$E$2</f>
        <v>5.0999999999999996</v>
      </c>
      <c r="P14">
        <f t="shared" si="1"/>
        <v>3</v>
      </c>
      <c r="Q14">
        <f>P14*Constants!$B$3</f>
        <v>12.599999999999998</v>
      </c>
      <c r="R14">
        <f t="shared" si="5"/>
        <v>7.4999999999999982</v>
      </c>
      <c r="S14">
        <f t="shared" si="2"/>
        <v>22.2</v>
      </c>
      <c r="T14">
        <f>S14*Constants!$B$2</f>
        <v>62.16</v>
      </c>
      <c r="V14">
        <f t="shared" si="3"/>
        <v>0</v>
      </c>
      <c r="W14">
        <f t="shared" si="4"/>
        <v>0</v>
      </c>
      <c r="AA14" s="8"/>
      <c r="AJ14" s="4"/>
    </row>
    <row r="15" spans="1:40" x14ac:dyDescent="0.25">
      <c r="A15">
        <v>14</v>
      </c>
      <c r="B15">
        <v>9</v>
      </c>
      <c r="C15" t="s">
        <v>57</v>
      </c>
      <c r="D15" s="16" t="s">
        <v>794</v>
      </c>
      <c r="E15" s="16" t="s">
        <v>796</v>
      </c>
      <c r="F15">
        <v>3.71</v>
      </c>
      <c r="G15" t="s">
        <v>44</v>
      </c>
      <c r="H15">
        <v>0</v>
      </c>
      <c r="I15">
        <v>7.44</v>
      </c>
      <c r="L15">
        <f>Constants!$B$2</f>
        <v>2.8</v>
      </c>
      <c r="M15" t="str">
        <f t="shared" si="0"/>
        <v>N/A</v>
      </c>
      <c r="N15">
        <f>P15*Constants!$E$2</f>
        <v>0</v>
      </c>
      <c r="P15">
        <f t="shared" si="1"/>
        <v>0</v>
      </c>
      <c r="Q15">
        <f>P15*Constants!$B$3</f>
        <v>0</v>
      </c>
      <c r="R15">
        <f t="shared" si="5"/>
        <v>0</v>
      </c>
      <c r="S15">
        <f t="shared" si="2"/>
        <v>7.44</v>
      </c>
      <c r="T15">
        <f>S15*Constants!$B$2</f>
        <v>20.832000000000001</v>
      </c>
      <c r="V15">
        <f t="shared" si="3"/>
        <v>0</v>
      </c>
      <c r="W15">
        <f t="shared" si="4"/>
        <v>0</v>
      </c>
      <c r="AA15" s="8"/>
      <c r="AJ15" s="4"/>
    </row>
    <row r="16" spans="1:40" x14ac:dyDescent="0.25">
      <c r="A16">
        <v>15</v>
      </c>
      <c r="B16">
        <v>9</v>
      </c>
      <c r="C16" t="s">
        <v>49</v>
      </c>
      <c r="D16" s="16" t="s">
        <v>797</v>
      </c>
      <c r="F16">
        <v>24.58</v>
      </c>
      <c r="G16">
        <v>270</v>
      </c>
      <c r="H16">
        <v>3.6</v>
      </c>
      <c r="I16">
        <f>2*1.2*(6+3)</f>
        <v>21.599999999999998</v>
      </c>
      <c r="L16">
        <f>Constants!$B$2</f>
        <v>2.8</v>
      </c>
      <c r="M16">
        <f>IF(N16&gt;0,G16,"N/A")</f>
        <v>270</v>
      </c>
      <c r="N16">
        <f>P16*Constants!$E$2</f>
        <v>6.12</v>
      </c>
      <c r="P16">
        <f>H16</f>
        <v>3.6</v>
      </c>
      <c r="Q16">
        <f>P16*Constants!$B$3</f>
        <v>15.119999999999997</v>
      </c>
      <c r="R16">
        <f t="shared" si="5"/>
        <v>8.9999999999999964</v>
      </c>
      <c r="S16">
        <f>I16-P16</f>
        <v>17.999999999999996</v>
      </c>
      <c r="T16">
        <f>S16*Constants!$B$2</f>
        <v>50.399999999999984</v>
      </c>
      <c r="V16">
        <f t="shared" si="3"/>
        <v>0</v>
      </c>
      <c r="W16">
        <f t="shared" si="4"/>
        <v>0</v>
      </c>
      <c r="AA16" s="8"/>
      <c r="AJ16" s="4"/>
    </row>
    <row r="17" spans="1:36" x14ac:dyDescent="0.25">
      <c r="A17">
        <v>16</v>
      </c>
      <c r="B17">
        <v>9</v>
      </c>
      <c r="C17" t="s">
        <v>57</v>
      </c>
      <c r="D17" s="16" t="s">
        <v>794</v>
      </c>
      <c r="E17" s="16" t="s">
        <v>796</v>
      </c>
      <c r="F17">
        <v>3.71</v>
      </c>
      <c r="G17" t="s">
        <v>44</v>
      </c>
      <c r="H17">
        <v>0</v>
      </c>
      <c r="I17">
        <v>7.44</v>
      </c>
      <c r="L17">
        <f>Constants!$B$2</f>
        <v>2.8</v>
      </c>
      <c r="M17" t="str">
        <f t="shared" ref="M17" si="16">IF(N17&gt;0,G17,"N/A")</f>
        <v>N/A</v>
      </c>
      <c r="N17">
        <f>P17*Constants!$E$2</f>
        <v>0</v>
      </c>
      <c r="P17">
        <f t="shared" ref="P17" si="17">H17</f>
        <v>0</v>
      </c>
      <c r="Q17">
        <f>P17*Constants!$B$3</f>
        <v>0</v>
      </c>
      <c r="R17">
        <f t="shared" ref="R17" si="18">IF(Q17-N17&lt;=0, 0, Q17-N17)</f>
        <v>0</v>
      </c>
      <c r="S17">
        <f t="shared" ref="S17" si="19">I17-P17</f>
        <v>7.44</v>
      </c>
      <c r="T17">
        <f>S17*Constants!$B$2</f>
        <v>20.832000000000001</v>
      </c>
      <c r="V17">
        <f t="shared" ref="V17" si="20">IF(B17="E",1,0)</f>
        <v>0</v>
      </c>
      <c r="W17">
        <f t="shared" ref="W17" si="21">IF(B17=10,1,0)</f>
        <v>0</v>
      </c>
      <c r="AA17" s="8"/>
      <c r="AJ17" s="4"/>
    </row>
    <row r="18" spans="1:36" x14ac:dyDescent="0.25">
      <c r="A18">
        <v>17</v>
      </c>
      <c r="B18">
        <v>9</v>
      </c>
      <c r="C18" t="s">
        <v>49</v>
      </c>
      <c r="D18" s="16" t="s">
        <v>798</v>
      </c>
      <c r="F18">
        <v>24.56</v>
      </c>
      <c r="G18">
        <v>270</v>
      </c>
      <c r="H18">
        <v>3.6</v>
      </c>
      <c r="I18">
        <f>2*(7.8+3.6)</f>
        <v>22.8</v>
      </c>
      <c r="L18">
        <f>Constants!$B$2</f>
        <v>2.8</v>
      </c>
      <c r="M18">
        <f t="shared" si="0"/>
        <v>270</v>
      </c>
      <c r="N18">
        <f>P18*Constants!$E$2</f>
        <v>6.12</v>
      </c>
      <c r="P18">
        <f t="shared" si="1"/>
        <v>3.6</v>
      </c>
      <c r="Q18">
        <f>P18*Constants!$B$3</f>
        <v>15.119999999999997</v>
      </c>
      <c r="R18">
        <f t="shared" si="5"/>
        <v>8.9999999999999964</v>
      </c>
      <c r="S18">
        <f t="shared" si="2"/>
        <v>19.2</v>
      </c>
      <c r="T18">
        <f>S18*Constants!$B$2</f>
        <v>53.76</v>
      </c>
      <c r="V18">
        <f t="shared" si="3"/>
        <v>0</v>
      </c>
      <c r="W18">
        <f t="shared" si="4"/>
        <v>0</v>
      </c>
      <c r="AA18" s="8"/>
      <c r="AJ18" s="4"/>
    </row>
    <row r="19" spans="1:36" x14ac:dyDescent="0.25">
      <c r="A19">
        <v>18</v>
      </c>
      <c r="B19">
        <v>9</v>
      </c>
      <c r="C19" t="s">
        <v>57</v>
      </c>
      <c r="D19" s="16" t="s">
        <v>799</v>
      </c>
      <c r="E19" s="16" t="s">
        <v>798</v>
      </c>
      <c r="F19">
        <v>3.71</v>
      </c>
      <c r="G19" t="s">
        <v>44</v>
      </c>
      <c r="H19">
        <v>0</v>
      </c>
      <c r="I19">
        <v>8.5500000000000007</v>
      </c>
      <c r="L19">
        <f>Constants!$B$2</f>
        <v>2.8</v>
      </c>
      <c r="M19" t="str">
        <f t="shared" si="0"/>
        <v>N/A</v>
      </c>
      <c r="N19">
        <f>P19*Constants!$E$2</f>
        <v>0</v>
      </c>
      <c r="P19">
        <f t="shared" si="1"/>
        <v>0</v>
      </c>
      <c r="Q19">
        <f>P19*Constants!$B$3</f>
        <v>0</v>
      </c>
      <c r="R19">
        <f t="shared" si="5"/>
        <v>0</v>
      </c>
      <c r="S19">
        <f t="shared" si="2"/>
        <v>8.5500000000000007</v>
      </c>
      <c r="T19">
        <f>S19*Constants!$B$2</f>
        <v>23.94</v>
      </c>
      <c r="V19">
        <f t="shared" si="3"/>
        <v>0</v>
      </c>
      <c r="W19">
        <f t="shared" si="4"/>
        <v>0</v>
      </c>
      <c r="AA19" s="8"/>
      <c r="AJ19" s="4"/>
    </row>
    <row r="20" spans="1:36" x14ac:dyDescent="0.25">
      <c r="A20">
        <v>19</v>
      </c>
      <c r="B20">
        <v>9</v>
      </c>
      <c r="C20" t="s">
        <v>49</v>
      </c>
      <c r="D20" s="16" t="s">
        <v>821</v>
      </c>
      <c r="F20">
        <v>24.56</v>
      </c>
      <c r="G20">
        <v>270</v>
      </c>
      <c r="H20">
        <v>6.9</v>
      </c>
      <c r="I20">
        <f>2*(7.8+3.6)</f>
        <v>22.8</v>
      </c>
      <c r="L20">
        <f>Constants!$B$2</f>
        <v>2.8</v>
      </c>
      <c r="M20">
        <f t="shared" ref="M20:M21" si="22">IF(N20&gt;0,G20,"N/A")</f>
        <v>270</v>
      </c>
      <c r="N20">
        <f>P20*Constants!$E$2</f>
        <v>11.73</v>
      </c>
      <c r="P20">
        <f t="shared" ref="P20:P21" si="23">H20</f>
        <v>6.9</v>
      </c>
      <c r="Q20">
        <f>P20*Constants!$B$3</f>
        <v>28.979999999999997</v>
      </c>
      <c r="R20">
        <f t="shared" ref="R20:R21" si="24">IF(Q20-N20&lt;=0, 0, Q20-N20)</f>
        <v>17.249999999999996</v>
      </c>
      <c r="S20">
        <f t="shared" ref="S20:S21" si="25">I20-P20</f>
        <v>15.9</v>
      </c>
      <c r="T20">
        <f>S20*Constants!$B$2</f>
        <v>44.519999999999996</v>
      </c>
      <c r="V20">
        <f t="shared" ref="V20:V21" si="26">IF(B20="E",1,0)</f>
        <v>0</v>
      </c>
      <c r="W20">
        <f t="shared" ref="W20:W21" si="27">IF(B20=10,1,0)</f>
        <v>0</v>
      </c>
      <c r="AA20" s="8"/>
      <c r="AJ20" s="4"/>
    </row>
    <row r="21" spans="1:36" x14ac:dyDescent="0.25">
      <c r="A21">
        <v>20</v>
      </c>
      <c r="B21">
        <v>9</v>
      </c>
      <c r="C21" t="s">
        <v>57</v>
      </c>
      <c r="D21" s="16" t="s">
        <v>822</v>
      </c>
      <c r="E21" s="16" t="s">
        <v>821</v>
      </c>
      <c r="F21">
        <v>3.71</v>
      </c>
      <c r="G21" t="s">
        <v>44</v>
      </c>
      <c r="H21">
        <v>0</v>
      </c>
      <c r="I21">
        <v>8.5500000000000007</v>
      </c>
      <c r="L21">
        <f>Constants!$B$2</f>
        <v>2.8</v>
      </c>
      <c r="M21" t="str">
        <f t="shared" si="22"/>
        <v>N/A</v>
      </c>
      <c r="N21">
        <f>P21*Constants!$E$2</f>
        <v>0</v>
      </c>
      <c r="P21">
        <f t="shared" si="23"/>
        <v>0</v>
      </c>
      <c r="Q21">
        <f>P21*Constants!$B$3</f>
        <v>0</v>
      </c>
      <c r="R21">
        <f t="shared" si="24"/>
        <v>0</v>
      </c>
      <c r="S21">
        <f t="shared" si="25"/>
        <v>8.5500000000000007</v>
      </c>
      <c r="T21">
        <f>S21*Constants!$B$2</f>
        <v>23.94</v>
      </c>
      <c r="V21">
        <f t="shared" si="26"/>
        <v>0</v>
      </c>
      <c r="W21">
        <f t="shared" si="27"/>
        <v>0</v>
      </c>
      <c r="AA21" s="8"/>
      <c r="AJ21" s="4"/>
    </row>
    <row r="22" spans="1:36" x14ac:dyDescent="0.25">
      <c r="A22">
        <v>21</v>
      </c>
      <c r="B22">
        <v>9</v>
      </c>
      <c r="C22" t="s">
        <v>62</v>
      </c>
      <c r="D22" s="16" t="s">
        <v>800</v>
      </c>
      <c r="F22">
        <v>20.76</v>
      </c>
      <c r="G22">
        <v>0</v>
      </c>
      <c r="H22">
        <v>4</v>
      </c>
      <c r="I22">
        <f>2*(4+5.3)</f>
        <v>18.600000000000001</v>
      </c>
      <c r="L22">
        <f>Constants!$B$2</f>
        <v>2.8</v>
      </c>
      <c r="M22">
        <f t="shared" si="0"/>
        <v>0</v>
      </c>
      <c r="N22">
        <f>P22*Constants!$E$2</f>
        <v>6.8</v>
      </c>
      <c r="P22">
        <f t="shared" si="1"/>
        <v>4</v>
      </c>
      <c r="Q22">
        <f>P22*Constants!$B$3</f>
        <v>16.799999999999997</v>
      </c>
      <c r="R22">
        <f t="shared" si="5"/>
        <v>9.9999999999999964</v>
      </c>
      <c r="S22">
        <f t="shared" si="2"/>
        <v>14.600000000000001</v>
      </c>
      <c r="T22">
        <f>S22*Constants!$B$2</f>
        <v>40.880000000000003</v>
      </c>
      <c r="V22">
        <f t="shared" si="3"/>
        <v>0</v>
      </c>
      <c r="W22">
        <f t="shared" si="4"/>
        <v>0</v>
      </c>
      <c r="AA22" s="8"/>
      <c r="AJ22" s="4"/>
    </row>
    <row r="23" spans="1:36" x14ac:dyDescent="0.25">
      <c r="A23">
        <v>22</v>
      </c>
      <c r="B23">
        <v>9</v>
      </c>
      <c r="C23" t="s">
        <v>64</v>
      </c>
      <c r="D23" s="16" t="s">
        <v>801</v>
      </c>
      <c r="F23">
        <v>3.72</v>
      </c>
      <c r="G23">
        <v>90</v>
      </c>
      <c r="H23">
        <v>1.4</v>
      </c>
      <c r="I23">
        <f>2*(3.5+1.4)</f>
        <v>9.8000000000000007</v>
      </c>
      <c r="L23">
        <f>Constants!$B$2</f>
        <v>2.8</v>
      </c>
      <c r="M23">
        <f t="shared" si="0"/>
        <v>90</v>
      </c>
      <c r="N23">
        <f>P23*Constants!$E$2</f>
        <v>2.38</v>
      </c>
      <c r="P23">
        <f t="shared" si="1"/>
        <v>1.4</v>
      </c>
      <c r="Q23">
        <f>P23*Constants!$B$3</f>
        <v>5.879999999999999</v>
      </c>
      <c r="R23">
        <f t="shared" si="5"/>
        <v>3.4999999999999991</v>
      </c>
      <c r="S23">
        <f t="shared" si="2"/>
        <v>8.4</v>
      </c>
      <c r="T23">
        <f>S23*Constants!$B$2</f>
        <v>23.52</v>
      </c>
      <c r="V23">
        <f t="shared" si="3"/>
        <v>0</v>
      </c>
      <c r="W23">
        <f t="shared" si="4"/>
        <v>0</v>
      </c>
      <c r="AA23" s="8"/>
      <c r="AJ23" s="4"/>
    </row>
    <row r="24" spans="1:36" x14ac:dyDescent="0.25">
      <c r="A24">
        <v>23</v>
      </c>
      <c r="B24">
        <v>9</v>
      </c>
      <c r="C24" t="s">
        <v>64</v>
      </c>
      <c r="D24" s="16" t="s">
        <v>802</v>
      </c>
      <c r="F24">
        <v>3.72</v>
      </c>
      <c r="G24">
        <v>90</v>
      </c>
      <c r="H24">
        <v>1.4</v>
      </c>
      <c r="I24">
        <f>2*(3.5+1.4)</f>
        <v>9.8000000000000007</v>
      </c>
      <c r="L24">
        <f>Constants!$B$2</f>
        <v>2.8</v>
      </c>
      <c r="M24">
        <f t="shared" si="0"/>
        <v>90</v>
      </c>
      <c r="N24">
        <f>P24*Constants!$E$2</f>
        <v>2.38</v>
      </c>
      <c r="P24">
        <f t="shared" si="1"/>
        <v>1.4</v>
      </c>
      <c r="Q24">
        <f>P24*Constants!$B$3</f>
        <v>5.879999999999999</v>
      </c>
      <c r="R24">
        <f t="shared" si="5"/>
        <v>3.4999999999999991</v>
      </c>
      <c r="S24">
        <f t="shared" si="2"/>
        <v>8.4</v>
      </c>
      <c r="T24">
        <f>S24*Constants!$B$2</f>
        <v>23.52</v>
      </c>
      <c r="V24">
        <f t="shared" si="3"/>
        <v>0</v>
      </c>
      <c r="W24">
        <f t="shared" si="4"/>
        <v>0</v>
      </c>
      <c r="AA24" s="8"/>
      <c r="AJ24" s="4"/>
    </row>
    <row r="25" spans="1:36" x14ac:dyDescent="0.25">
      <c r="A25">
        <v>24</v>
      </c>
      <c r="B25">
        <v>9</v>
      </c>
      <c r="C25" t="s">
        <v>62</v>
      </c>
      <c r="D25" s="16" t="s">
        <v>803</v>
      </c>
      <c r="F25">
        <f>56.65+68.9</f>
        <v>125.55000000000001</v>
      </c>
      <c r="G25" t="s">
        <v>44</v>
      </c>
      <c r="H25">
        <v>0</v>
      </c>
      <c r="I25">
        <v>100.25</v>
      </c>
      <c r="L25">
        <f>Constants!$B$2</f>
        <v>2.8</v>
      </c>
      <c r="M25" t="str">
        <f t="shared" si="0"/>
        <v>N/A</v>
      </c>
      <c r="N25">
        <f>P25*Constants!$E$2</f>
        <v>0</v>
      </c>
      <c r="P25">
        <f t="shared" si="1"/>
        <v>0</v>
      </c>
      <c r="Q25">
        <f>P25*Constants!$B$3</f>
        <v>0</v>
      </c>
      <c r="R25">
        <f t="shared" si="5"/>
        <v>0</v>
      </c>
      <c r="S25">
        <f t="shared" si="2"/>
        <v>100.25</v>
      </c>
      <c r="T25">
        <f>S25*Constants!$B$2</f>
        <v>280.7</v>
      </c>
      <c r="V25">
        <f t="shared" si="3"/>
        <v>0</v>
      </c>
      <c r="W25">
        <f t="shared" si="4"/>
        <v>0</v>
      </c>
      <c r="AA25" s="8"/>
      <c r="AJ25" s="4"/>
    </row>
    <row r="26" spans="1:36" x14ac:dyDescent="0.25">
      <c r="A26">
        <v>25</v>
      </c>
      <c r="B26">
        <v>9</v>
      </c>
      <c r="C26" t="s">
        <v>49</v>
      </c>
      <c r="D26" s="16" t="s">
        <v>804</v>
      </c>
      <c r="E26" s="16"/>
      <c r="F26">
        <v>24.76</v>
      </c>
      <c r="G26">
        <v>90</v>
      </c>
      <c r="H26">
        <f>3.3+3.6</f>
        <v>6.9</v>
      </c>
      <c r="I26">
        <f>2*(7.8+3.6)</f>
        <v>22.8</v>
      </c>
      <c r="L26">
        <f>Constants!$B$2</f>
        <v>2.8</v>
      </c>
      <c r="M26">
        <f t="shared" si="0"/>
        <v>90</v>
      </c>
      <c r="N26">
        <f>P26*Constants!$E$2</f>
        <v>11.73</v>
      </c>
      <c r="P26">
        <f t="shared" si="1"/>
        <v>6.9</v>
      </c>
      <c r="Q26">
        <f>P26*Constants!$B$3</f>
        <v>28.979999999999997</v>
      </c>
      <c r="R26">
        <f t="shared" si="5"/>
        <v>17.249999999999996</v>
      </c>
      <c r="S26">
        <f t="shared" si="2"/>
        <v>15.9</v>
      </c>
      <c r="T26">
        <f>S26*Constants!$B$2</f>
        <v>44.519999999999996</v>
      </c>
      <c r="V26">
        <f t="shared" si="3"/>
        <v>0</v>
      </c>
      <c r="W26">
        <f t="shared" si="4"/>
        <v>0</v>
      </c>
      <c r="AA26" s="8"/>
      <c r="AJ26" s="4"/>
    </row>
    <row r="27" spans="1:36" x14ac:dyDescent="0.25">
      <c r="A27">
        <v>26</v>
      </c>
      <c r="B27">
        <v>9</v>
      </c>
      <c r="C27" t="s">
        <v>57</v>
      </c>
      <c r="D27" s="16" t="s">
        <v>805</v>
      </c>
      <c r="E27" s="16" t="s">
        <v>804</v>
      </c>
      <c r="F27">
        <v>2.2400000000000002</v>
      </c>
      <c r="G27" t="s">
        <v>44</v>
      </c>
      <c r="H27">
        <v>0</v>
      </c>
      <c r="I27">
        <v>8.5500000000000007</v>
      </c>
      <c r="L27">
        <f>Constants!$B$2</f>
        <v>2.8</v>
      </c>
      <c r="M27" t="str">
        <f t="shared" si="0"/>
        <v>N/A</v>
      </c>
      <c r="N27">
        <f>P27*Constants!$E$2</f>
        <v>0</v>
      </c>
      <c r="P27">
        <f t="shared" si="1"/>
        <v>0</v>
      </c>
      <c r="Q27">
        <f>P27*Constants!$B$3</f>
        <v>0</v>
      </c>
      <c r="R27">
        <f t="shared" si="5"/>
        <v>0</v>
      </c>
      <c r="S27">
        <f t="shared" si="2"/>
        <v>8.5500000000000007</v>
      </c>
      <c r="T27">
        <f>S27*Constants!$B$2</f>
        <v>23.94</v>
      </c>
      <c r="V27">
        <f t="shared" si="3"/>
        <v>0</v>
      </c>
      <c r="W27">
        <f t="shared" si="4"/>
        <v>0</v>
      </c>
      <c r="AA27" s="8"/>
      <c r="AJ27" s="4"/>
    </row>
    <row r="28" spans="1:36" x14ac:dyDescent="0.25">
      <c r="A28">
        <v>27</v>
      </c>
      <c r="B28">
        <v>9</v>
      </c>
      <c r="C28" t="s">
        <v>49</v>
      </c>
      <c r="D28" s="16" t="s">
        <v>806</v>
      </c>
      <c r="E28" s="16"/>
      <c r="F28">
        <v>24.76</v>
      </c>
      <c r="G28">
        <v>90</v>
      </c>
      <c r="H28">
        <v>3.6</v>
      </c>
      <c r="I28">
        <f>2*(7.8+3.6)</f>
        <v>22.8</v>
      </c>
      <c r="L28">
        <f>Constants!$B$2</f>
        <v>2.8</v>
      </c>
      <c r="M28">
        <f t="shared" ref="M28:M29" si="28">IF(N28&gt;0,G28,"N/A")</f>
        <v>90</v>
      </c>
      <c r="N28">
        <f>P28*Constants!$E$2</f>
        <v>6.12</v>
      </c>
      <c r="P28">
        <f t="shared" ref="P28:P29" si="29">H28</f>
        <v>3.6</v>
      </c>
      <c r="Q28">
        <f>P28*Constants!$B$3</f>
        <v>15.119999999999997</v>
      </c>
      <c r="R28">
        <f t="shared" ref="R28:R29" si="30">IF(Q28-N28&lt;=0, 0, Q28-N28)</f>
        <v>8.9999999999999964</v>
      </c>
      <c r="S28">
        <f t="shared" ref="S28:S29" si="31">I28-P28</f>
        <v>19.2</v>
      </c>
      <c r="T28">
        <f>S28*Constants!$B$2</f>
        <v>53.76</v>
      </c>
      <c r="V28">
        <f t="shared" ref="V28:V29" si="32">IF(B28="E",1,0)</f>
        <v>0</v>
      </c>
      <c r="W28">
        <f t="shared" ref="W28:W29" si="33">IF(B28=10,1,0)</f>
        <v>0</v>
      </c>
      <c r="AA28" s="8"/>
      <c r="AJ28" s="4"/>
    </row>
    <row r="29" spans="1:36" x14ac:dyDescent="0.25">
      <c r="A29">
        <v>28</v>
      </c>
      <c r="B29">
        <v>9</v>
      </c>
      <c r="C29" t="s">
        <v>57</v>
      </c>
      <c r="D29" s="16" t="s">
        <v>823</v>
      </c>
      <c r="E29" s="16" t="s">
        <v>806</v>
      </c>
      <c r="F29">
        <v>2.2400000000000002</v>
      </c>
      <c r="G29" t="s">
        <v>44</v>
      </c>
      <c r="H29">
        <v>0</v>
      </c>
      <c r="I29">
        <v>8.5500000000000007</v>
      </c>
      <c r="L29">
        <f>Constants!$B$2</f>
        <v>2.8</v>
      </c>
      <c r="M29" t="str">
        <f t="shared" si="28"/>
        <v>N/A</v>
      </c>
      <c r="N29">
        <f>P29*Constants!$E$2</f>
        <v>0</v>
      </c>
      <c r="P29">
        <f t="shared" si="29"/>
        <v>0</v>
      </c>
      <c r="Q29">
        <f>P29*Constants!$B$3</f>
        <v>0</v>
      </c>
      <c r="R29">
        <f t="shared" si="30"/>
        <v>0</v>
      </c>
      <c r="S29">
        <f t="shared" si="31"/>
        <v>8.5500000000000007</v>
      </c>
      <c r="T29">
        <f>S29*Constants!$B$2</f>
        <v>23.94</v>
      </c>
      <c r="V29">
        <f t="shared" si="32"/>
        <v>0</v>
      </c>
      <c r="W29">
        <f t="shared" si="33"/>
        <v>0</v>
      </c>
      <c r="AA29" s="8"/>
      <c r="AJ29" s="4"/>
    </row>
    <row r="30" spans="1:36" x14ac:dyDescent="0.25">
      <c r="A30">
        <v>29</v>
      </c>
      <c r="B30">
        <v>9</v>
      </c>
      <c r="C30" t="s">
        <v>49</v>
      </c>
      <c r="D30" s="16" t="s">
        <v>807</v>
      </c>
      <c r="E30" s="16"/>
      <c r="F30">
        <v>24.76</v>
      </c>
      <c r="G30">
        <v>90</v>
      </c>
      <c r="H30">
        <v>3.6</v>
      </c>
      <c r="I30">
        <f>2*(7.8+3.6)</f>
        <v>22.8</v>
      </c>
      <c r="L30">
        <f>Constants!$B$2</f>
        <v>2.8</v>
      </c>
      <c r="M30">
        <f t="shared" ref="M30:M31" si="34">IF(N30&gt;0,G30,"N/A")</f>
        <v>90</v>
      </c>
      <c r="N30">
        <f>P30*Constants!$E$2</f>
        <v>6.12</v>
      </c>
      <c r="P30">
        <f t="shared" ref="P30:P31" si="35">H30</f>
        <v>3.6</v>
      </c>
      <c r="Q30">
        <f>P30*Constants!$B$3</f>
        <v>15.119999999999997</v>
      </c>
      <c r="R30">
        <f t="shared" ref="R30:R31" si="36">IF(Q30-N30&lt;=0, 0, Q30-N30)</f>
        <v>8.9999999999999964</v>
      </c>
      <c r="S30">
        <f t="shared" ref="S30:S31" si="37">I30-P30</f>
        <v>19.2</v>
      </c>
      <c r="T30">
        <f>S30*Constants!$B$2</f>
        <v>53.76</v>
      </c>
      <c r="V30">
        <f t="shared" ref="V30:V31" si="38">IF(B30="E",1,0)</f>
        <v>0</v>
      </c>
      <c r="W30">
        <f t="shared" ref="W30:W31" si="39">IF(B30=10,1,0)</f>
        <v>0</v>
      </c>
      <c r="AA30" s="8"/>
      <c r="AJ30" s="4"/>
    </row>
    <row r="31" spans="1:36" x14ac:dyDescent="0.25">
      <c r="A31">
        <v>30</v>
      </c>
      <c r="B31">
        <v>9</v>
      </c>
      <c r="C31" t="s">
        <v>57</v>
      </c>
      <c r="D31" s="16" t="s">
        <v>824</v>
      </c>
      <c r="E31" s="16" t="s">
        <v>807</v>
      </c>
      <c r="F31">
        <v>2.2400000000000002</v>
      </c>
      <c r="G31" t="s">
        <v>44</v>
      </c>
      <c r="H31">
        <v>0</v>
      </c>
      <c r="I31">
        <v>8.5500000000000007</v>
      </c>
      <c r="L31">
        <f>Constants!$B$2</f>
        <v>2.8</v>
      </c>
      <c r="M31" t="str">
        <f t="shared" si="34"/>
        <v>N/A</v>
      </c>
      <c r="N31">
        <f>P31*Constants!$E$2</f>
        <v>0</v>
      </c>
      <c r="P31">
        <f t="shared" si="35"/>
        <v>0</v>
      </c>
      <c r="Q31">
        <f>P31*Constants!$B$3</f>
        <v>0</v>
      </c>
      <c r="R31">
        <f t="shared" si="36"/>
        <v>0</v>
      </c>
      <c r="S31">
        <f t="shared" si="37"/>
        <v>8.5500000000000007</v>
      </c>
      <c r="T31">
        <f>S31*Constants!$B$2</f>
        <v>23.94</v>
      </c>
      <c r="V31">
        <f t="shared" si="38"/>
        <v>0</v>
      </c>
      <c r="W31">
        <f t="shared" si="39"/>
        <v>0</v>
      </c>
      <c r="AA31" s="8"/>
      <c r="AJ31" s="4"/>
    </row>
    <row r="32" spans="1:36" x14ac:dyDescent="0.25">
      <c r="A32">
        <v>31</v>
      </c>
      <c r="B32">
        <v>9</v>
      </c>
      <c r="C32" t="s">
        <v>49</v>
      </c>
      <c r="D32" s="16" t="s">
        <v>808</v>
      </c>
      <c r="E32" s="16"/>
      <c r="F32">
        <v>12.56</v>
      </c>
      <c r="G32">
        <v>90</v>
      </c>
      <c r="H32">
        <v>3</v>
      </c>
      <c r="I32">
        <f>2*1.2*(2.5+4.5)</f>
        <v>16.8</v>
      </c>
      <c r="L32">
        <f>Constants!$B$2</f>
        <v>2.8</v>
      </c>
      <c r="M32">
        <f t="shared" si="0"/>
        <v>90</v>
      </c>
      <c r="N32">
        <f>P32*Constants!$E$2</f>
        <v>5.0999999999999996</v>
      </c>
      <c r="P32">
        <f t="shared" si="1"/>
        <v>3</v>
      </c>
      <c r="Q32">
        <f>P32*Constants!$B$3</f>
        <v>12.599999999999998</v>
      </c>
      <c r="R32">
        <f t="shared" si="5"/>
        <v>7.4999999999999982</v>
      </c>
      <c r="S32">
        <f t="shared" si="2"/>
        <v>13.8</v>
      </c>
      <c r="T32">
        <f>S32*Constants!$B$2</f>
        <v>38.64</v>
      </c>
      <c r="V32">
        <f t="shared" si="3"/>
        <v>0</v>
      </c>
      <c r="W32">
        <f t="shared" si="4"/>
        <v>0</v>
      </c>
      <c r="AA32" s="8"/>
      <c r="AJ32" s="4"/>
    </row>
    <row r="33" spans="1:36" x14ac:dyDescent="0.25">
      <c r="A33">
        <v>32</v>
      </c>
      <c r="B33">
        <v>9</v>
      </c>
      <c r="C33" t="s">
        <v>49</v>
      </c>
      <c r="D33" s="16" t="s">
        <v>809</v>
      </c>
      <c r="E33" s="16"/>
      <c r="F33">
        <v>25.06</v>
      </c>
      <c r="G33">
        <v>90</v>
      </c>
      <c r="H33">
        <v>3</v>
      </c>
      <c r="I33">
        <f>2*1.2*(6.5+4)</f>
        <v>25.2</v>
      </c>
      <c r="L33">
        <f>Constants!$B$2</f>
        <v>2.8</v>
      </c>
      <c r="M33">
        <f t="shared" si="0"/>
        <v>90</v>
      </c>
      <c r="N33">
        <f>P33*Constants!$E$2</f>
        <v>5.0999999999999996</v>
      </c>
      <c r="P33">
        <f t="shared" si="1"/>
        <v>3</v>
      </c>
      <c r="Q33">
        <f>P33*Constants!$B$3</f>
        <v>12.599999999999998</v>
      </c>
      <c r="R33">
        <f t="shared" si="5"/>
        <v>7.4999999999999982</v>
      </c>
      <c r="S33">
        <f t="shared" si="2"/>
        <v>22.2</v>
      </c>
      <c r="T33">
        <f>S33*Constants!$B$2</f>
        <v>62.16</v>
      </c>
      <c r="V33">
        <f t="shared" si="3"/>
        <v>0</v>
      </c>
      <c r="W33">
        <f t="shared" si="4"/>
        <v>0</v>
      </c>
      <c r="AA33" s="8"/>
      <c r="AJ33" s="4"/>
    </row>
    <row r="34" spans="1:36" x14ac:dyDescent="0.25">
      <c r="A34">
        <v>33</v>
      </c>
      <c r="B34">
        <v>9</v>
      </c>
      <c r="C34" t="s">
        <v>57</v>
      </c>
      <c r="D34" s="16" t="s">
        <v>825</v>
      </c>
      <c r="E34" s="16" t="s">
        <v>809</v>
      </c>
      <c r="F34">
        <v>2.2400000000000002</v>
      </c>
      <c r="G34" t="s">
        <v>44</v>
      </c>
      <c r="H34">
        <v>0</v>
      </c>
      <c r="I34">
        <v>8.5500000000000007</v>
      </c>
      <c r="L34">
        <f>Constants!$B$2</f>
        <v>2.8</v>
      </c>
      <c r="M34" t="str">
        <f t="shared" si="0"/>
        <v>N/A</v>
      </c>
      <c r="N34">
        <f>P34*Constants!$E$2</f>
        <v>0</v>
      </c>
      <c r="P34">
        <f t="shared" si="1"/>
        <v>0</v>
      </c>
      <c r="Q34">
        <f>P34*Constants!$B$3</f>
        <v>0</v>
      </c>
      <c r="R34">
        <f t="shared" si="5"/>
        <v>0</v>
      </c>
      <c r="S34">
        <f t="shared" si="2"/>
        <v>8.5500000000000007</v>
      </c>
      <c r="T34">
        <f>S34*Constants!$B$2</f>
        <v>23.94</v>
      </c>
      <c r="V34">
        <f t="shared" si="3"/>
        <v>0</v>
      </c>
      <c r="W34">
        <f t="shared" si="4"/>
        <v>0</v>
      </c>
      <c r="AA34" s="8"/>
      <c r="AJ34" s="4"/>
    </row>
    <row r="35" spans="1:36" x14ac:dyDescent="0.25">
      <c r="A35">
        <v>34</v>
      </c>
      <c r="B35">
        <v>9</v>
      </c>
      <c r="C35" t="s">
        <v>45</v>
      </c>
      <c r="D35" s="16" t="s">
        <v>826</v>
      </c>
      <c r="E35" s="16"/>
      <c r="F35">
        <v>7.76</v>
      </c>
      <c r="G35" t="s">
        <v>44</v>
      </c>
      <c r="H35">
        <v>0</v>
      </c>
      <c r="I35">
        <f>2*1.2*(2+3)</f>
        <v>12</v>
      </c>
      <c r="L35">
        <f>Constants!$B$2</f>
        <v>2.8</v>
      </c>
      <c r="M35" t="str">
        <f t="shared" ref="M35:M36" si="40">IF(N35&gt;0,G35,"N/A")</f>
        <v>N/A</v>
      </c>
      <c r="N35">
        <f>P35*Constants!$E$2</f>
        <v>0</v>
      </c>
      <c r="P35">
        <f t="shared" ref="P35:P36" si="41">H35</f>
        <v>0</v>
      </c>
      <c r="Q35">
        <f>P35*Constants!$B$3</f>
        <v>0</v>
      </c>
      <c r="R35">
        <f t="shared" ref="R35:R36" si="42">IF(Q35-N35&lt;=0, 0, Q35-N35)</f>
        <v>0</v>
      </c>
      <c r="S35">
        <f t="shared" ref="S35:S36" si="43">I35-P35</f>
        <v>12</v>
      </c>
      <c r="T35">
        <f>S35*Constants!$B$2</f>
        <v>33.599999999999994</v>
      </c>
      <c r="V35">
        <f t="shared" ref="V35:V36" si="44">IF(B35="E",1,0)</f>
        <v>0</v>
      </c>
      <c r="W35">
        <f t="shared" ref="W35:W36" si="45">IF(B35=10,1,0)</f>
        <v>0</v>
      </c>
      <c r="AA35" s="8"/>
      <c r="AJ35" s="4"/>
    </row>
    <row r="36" spans="1:36" x14ac:dyDescent="0.25">
      <c r="A36">
        <v>35</v>
      </c>
      <c r="B36">
        <v>9</v>
      </c>
      <c r="C36" t="s">
        <v>49</v>
      </c>
      <c r="D36" s="16" t="s">
        <v>810</v>
      </c>
      <c r="E36" s="16"/>
      <c r="F36">
        <v>12.56</v>
      </c>
      <c r="G36">
        <v>90</v>
      </c>
      <c r="H36">
        <v>3</v>
      </c>
      <c r="I36">
        <f>2*1.2*(2.5+4.5)</f>
        <v>16.8</v>
      </c>
      <c r="L36">
        <f>Constants!$B$2</f>
        <v>2.8</v>
      </c>
      <c r="M36">
        <f t="shared" si="40"/>
        <v>90</v>
      </c>
      <c r="N36">
        <f>P36*Constants!$E$2</f>
        <v>5.0999999999999996</v>
      </c>
      <c r="P36">
        <f t="shared" si="41"/>
        <v>3</v>
      </c>
      <c r="Q36">
        <f>P36*Constants!$B$3</f>
        <v>12.599999999999998</v>
      </c>
      <c r="R36">
        <f t="shared" si="42"/>
        <v>7.4999999999999982</v>
      </c>
      <c r="S36">
        <f t="shared" si="43"/>
        <v>13.8</v>
      </c>
      <c r="T36">
        <f>S36*Constants!$B$2</f>
        <v>38.64</v>
      </c>
      <c r="V36">
        <f t="shared" si="44"/>
        <v>0</v>
      </c>
      <c r="W36">
        <f t="shared" si="45"/>
        <v>0</v>
      </c>
      <c r="AA36" s="8"/>
      <c r="AJ36" s="4"/>
    </row>
    <row r="37" spans="1:36" x14ac:dyDescent="0.25">
      <c r="A37">
        <v>36</v>
      </c>
      <c r="B37">
        <v>9</v>
      </c>
      <c r="C37" t="s">
        <v>57</v>
      </c>
      <c r="D37" s="16" t="s">
        <v>811</v>
      </c>
      <c r="E37" s="16" t="s">
        <v>810</v>
      </c>
      <c r="F37">
        <v>3.71</v>
      </c>
      <c r="G37" t="s">
        <v>44</v>
      </c>
      <c r="H37">
        <v>0</v>
      </c>
      <c r="I37">
        <v>7.44</v>
      </c>
      <c r="L37">
        <f>Constants!$B$2</f>
        <v>2.8</v>
      </c>
      <c r="M37" t="str">
        <f t="shared" si="0"/>
        <v>N/A</v>
      </c>
      <c r="N37">
        <f>P37*Constants!$E$2</f>
        <v>0</v>
      </c>
      <c r="P37">
        <f t="shared" si="1"/>
        <v>0</v>
      </c>
      <c r="Q37">
        <f>P37*Constants!$B$3</f>
        <v>0</v>
      </c>
      <c r="R37">
        <f t="shared" si="5"/>
        <v>0</v>
      </c>
      <c r="S37">
        <f t="shared" si="2"/>
        <v>7.44</v>
      </c>
      <c r="T37">
        <f>S37*Constants!$B$2</f>
        <v>20.832000000000001</v>
      </c>
      <c r="V37">
        <f t="shared" si="3"/>
        <v>0</v>
      </c>
      <c r="W37">
        <f t="shared" si="4"/>
        <v>0</v>
      </c>
      <c r="AA37" s="8"/>
      <c r="AJ37" s="4"/>
    </row>
    <row r="38" spans="1:36" x14ac:dyDescent="0.25">
      <c r="A38">
        <v>37</v>
      </c>
      <c r="B38">
        <v>9</v>
      </c>
      <c r="C38" t="s">
        <v>49</v>
      </c>
      <c r="D38" s="16" t="s">
        <v>812</v>
      </c>
      <c r="E38" s="16"/>
      <c r="F38">
        <v>26.16</v>
      </c>
      <c r="G38">
        <v>90</v>
      </c>
      <c r="H38">
        <v>3</v>
      </c>
      <c r="I38">
        <f>2*1.2*(6.5+4)</f>
        <v>25.2</v>
      </c>
      <c r="L38">
        <f>Constants!$B$2</f>
        <v>2.8</v>
      </c>
      <c r="M38">
        <f t="shared" ref="M38:M39" si="46">IF(N38&gt;0,G38,"N/A")</f>
        <v>90</v>
      </c>
      <c r="N38">
        <f>P38*Constants!$E$2</f>
        <v>5.0999999999999996</v>
      </c>
      <c r="P38">
        <f t="shared" ref="P38:P39" si="47">H38</f>
        <v>3</v>
      </c>
      <c r="Q38">
        <f>P38*Constants!$B$3</f>
        <v>12.599999999999998</v>
      </c>
      <c r="R38">
        <f t="shared" ref="R38:R39" si="48">IF(Q38-N38&lt;=0, 0, Q38-N38)</f>
        <v>7.4999999999999982</v>
      </c>
      <c r="S38">
        <f t="shared" ref="S38:S39" si="49">I38-P38</f>
        <v>22.2</v>
      </c>
      <c r="T38">
        <f>S38*Constants!$B$2</f>
        <v>62.16</v>
      </c>
      <c r="V38">
        <f t="shared" ref="V38:V39" si="50">IF(B38="E",1,0)</f>
        <v>0</v>
      </c>
      <c r="W38">
        <f t="shared" ref="W38:W39" si="51">IF(B38=10,1,0)</f>
        <v>0</v>
      </c>
      <c r="AA38" s="8"/>
      <c r="AJ38" s="4"/>
    </row>
    <row r="39" spans="1:36" x14ac:dyDescent="0.25">
      <c r="A39">
        <v>38</v>
      </c>
      <c r="B39">
        <v>9</v>
      </c>
      <c r="C39" t="s">
        <v>57</v>
      </c>
      <c r="D39" s="16" t="s">
        <v>813</v>
      </c>
      <c r="E39" s="16" t="s">
        <v>812</v>
      </c>
      <c r="F39">
        <v>2.2400000000000002</v>
      </c>
      <c r="G39" t="s">
        <v>44</v>
      </c>
      <c r="H39">
        <v>0</v>
      </c>
      <c r="I39">
        <v>8.5500000000000007</v>
      </c>
      <c r="L39">
        <f>Constants!$B$2</f>
        <v>2.8</v>
      </c>
      <c r="M39" t="str">
        <f t="shared" si="46"/>
        <v>N/A</v>
      </c>
      <c r="N39">
        <f>P39*Constants!$E$2</f>
        <v>0</v>
      </c>
      <c r="P39">
        <f t="shared" si="47"/>
        <v>0</v>
      </c>
      <c r="Q39">
        <f>P39*Constants!$B$3</f>
        <v>0</v>
      </c>
      <c r="R39">
        <f t="shared" si="48"/>
        <v>0</v>
      </c>
      <c r="S39">
        <f t="shared" si="49"/>
        <v>8.5500000000000007</v>
      </c>
      <c r="T39">
        <f>S39*Constants!$B$2</f>
        <v>23.94</v>
      </c>
      <c r="V39">
        <f t="shared" si="50"/>
        <v>0</v>
      </c>
      <c r="W39">
        <f t="shared" si="51"/>
        <v>0</v>
      </c>
      <c r="AA39" s="8"/>
      <c r="AJ39" s="4"/>
    </row>
    <row r="40" spans="1:36" x14ac:dyDescent="0.25">
      <c r="A40">
        <v>39</v>
      </c>
      <c r="B40">
        <v>9</v>
      </c>
      <c r="C40" t="s">
        <v>49</v>
      </c>
      <c r="D40" s="16" t="s">
        <v>814</v>
      </c>
      <c r="F40">
        <v>24.58</v>
      </c>
      <c r="G40">
        <v>90</v>
      </c>
      <c r="H40">
        <v>3.6</v>
      </c>
      <c r="I40">
        <f>2*1.2*(6.5+3)</f>
        <v>22.8</v>
      </c>
      <c r="L40">
        <f>Constants!$B$2</f>
        <v>2.8</v>
      </c>
      <c r="M40">
        <f t="shared" si="0"/>
        <v>90</v>
      </c>
      <c r="N40">
        <f>P40*Constants!$E$2</f>
        <v>6.12</v>
      </c>
      <c r="P40">
        <f t="shared" si="1"/>
        <v>3.6</v>
      </c>
      <c r="Q40">
        <f>P40*Constants!$B$3</f>
        <v>15.119999999999997</v>
      </c>
      <c r="R40">
        <f t="shared" si="5"/>
        <v>8.9999999999999964</v>
      </c>
      <c r="S40">
        <f t="shared" si="2"/>
        <v>19.2</v>
      </c>
      <c r="T40">
        <f>S40*Constants!$B$2</f>
        <v>53.76</v>
      </c>
      <c r="V40">
        <f t="shared" si="3"/>
        <v>0</v>
      </c>
      <c r="W40">
        <f t="shared" si="4"/>
        <v>0</v>
      </c>
      <c r="AA40" s="8"/>
      <c r="AJ40" s="4"/>
    </row>
    <row r="41" spans="1:36" x14ac:dyDescent="0.25">
      <c r="A41">
        <v>40</v>
      </c>
      <c r="B41">
        <v>9</v>
      </c>
      <c r="C41" t="s">
        <v>57</v>
      </c>
      <c r="D41" s="16" t="s">
        <v>815</v>
      </c>
      <c r="E41" s="16" t="s">
        <v>814</v>
      </c>
      <c r="F41">
        <v>3.71</v>
      </c>
      <c r="G41" t="s">
        <v>44</v>
      </c>
      <c r="H41">
        <v>0</v>
      </c>
      <c r="I41">
        <v>8.5500000000000007</v>
      </c>
      <c r="L41">
        <f>Constants!$B$2</f>
        <v>2.8</v>
      </c>
      <c r="M41" t="str">
        <f t="shared" si="0"/>
        <v>N/A</v>
      </c>
      <c r="N41">
        <f>P41*Constants!$E$2</f>
        <v>0</v>
      </c>
      <c r="P41">
        <f t="shared" si="1"/>
        <v>0</v>
      </c>
      <c r="Q41">
        <f>P41*Constants!$B$3</f>
        <v>0</v>
      </c>
      <c r="R41">
        <f t="shared" si="5"/>
        <v>0</v>
      </c>
      <c r="S41">
        <f t="shared" si="2"/>
        <v>8.5500000000000007</v>
      </c>
      <c r="T41">
        <f>S41*Constants!$B$2</f>
        <v>23.94</v>
      </c>
      <c r="V41">
        <f t="shared" si="3"/>
        <v>0</v>
      </c>
      <c r="W41">
        <f t="shared" si="4"/>
        <v>0</v>
      </c>
      <c r="AA41" s="8"/>
      <c r="AJ41" s="4"/>
    </row>
    <row r="42" spans="1:36" x14ac:dyDescent="0.25">
      <c r="A42">
        <v>41</v>
      </c>
      <c r="B42">
        <v>9</v>
      </c>
      <c r="C42" t="s">
        <v>49</v>
      </c>
      <c r="D42" s="16" t="s">
        <v>816</v>
      </c>
      <c r="F42">
        <v>24.53</v>
      </c>
      <c r="G42">
        <v>90</v>
      </c>
      <c r="H42">
        <v>3.6</v>
      </c>
      <c r="I42">
        <f>2*(7.8+3.6)</f>
        <v>22.8</v>
      </c>
      <c r="L42">
        <f>Constants!$B$2</f>
        <v>2.8</v>
      </c>
      <c r="M42">
        <f t="shared" si="0"/>
        <v>90</v>
      </c>
      <c r="N42">
        <f>P42*Constants!$E$2</f>
        <v>6.12</v>
      </c>
      <c r="P42">
        <f t="shared" si="1"/>
        <v>3.6</v>
      </c>
      <c r="Q42">
        <f>P42*Constants!$B$3</f>
        <v>15.119999999999997</v>
      </c>
      <c r="R42">
        <f t="shared" si="5"/>
        <v>8.9999999999999964</v>
      </c>
      <c r="S42">
        <f t="shared" si="2"/>
        <v>19.2</v>
      </c>
      <c r="T42">
        <f>S42*Constants!$B$2</f>
        <v>53.76</v>
      </c>
      <c r="V42">
        <f t="shared" si="3"/>
        <v>0</v>
      </c>
      <c r="W42">
        <f t="shared" si="4"/>
        <v>0</v>
      </c>
      <c r="AA42" s="8"/>
      <c r="AJ42" s="4"/>
    </row>
    <row r="43" spans="1:36" x14ac:dyDescent="0.25">
      <c r="A43">
        <v>42</v>
      </c>
      <c r="B43">
        <v>9</v>
      </c>
      <c r="C43" t="s">
        <v>57</v>
      </c>
      <c r="D43" s="16" t="s">
        <v>817</v>
      </c>
      <c r="E43" s="16" t="s">
        <v>816</v>
      </c>
      <c r="F43">
        <v>3.71</v>
      </c>
      <c r="G43" t="s">
        <v>44</v>
      </c>
      <c r="H43">
        <v>0</v>
      </c>
      <c r="I43">
        <v>8.5500000000000007</v>
      </c>
      <c r="L43">
        <f>Constants!$B$2</f>
        <v>2.8</v>
      </c>
      <c r="M43" t="str">
        <f t="shared" si="0"/>
        <v>N/A</v>
      </c>
      <c r="N43">
        <f>P43*Constants!$E$2</f>
        <v>0</v>
      </c>
      <c r="P43">
        <f t="shared" si="1"/>
        <v>0</v>
      </c>
      <c r="Q43">
        <f>P43*Constants!$B$3</f>
        <v>0</v>
      </c>
      <c r="R43">
        <f t="shared" si="5"/>
        <v>0</v>
      </c>
      <c r="S43">
        <f t="shared" si="2"/>
        <v>8.5500000000000007</v>
      </c>
      <c r="T43">
        <f>S43*Constants!$B$2</f>
        <v>23.94</v>
      </c>
      <c r="V43">
        <f t="shared" si="3"/>
        <v>0</v>
      </c>
      <c r="W43">
        <f t="shared" si="4"/>
        <v>0</v>
      </c>
      <c r="AA43" s="8"/>
      <c r="AJ43" s="4"/>
    </row>
    <row r="44" spans="1:36" x14ac:dyDescent="0.25">
      <c r="A44">
        <v>43</v>
      </c>
      <c r="B44">
        <v>9</v>
      </c>
      <c r="C44" t="s">
        <v>54</v>
      </c>
      <c r="D44" s="16" t="s">
        <v>818</v>
      </c>
      <c r="F44">
        <v>24.76</v>
      </c>
      <c r="G44">
        <v>90</v>
      </c>
      <c r="H44">
        <v>3.6</v>
      </c>
      <c r="I44">
        <f>2*(7.8+3.6)</f>
        <v>22.8</v>
      </c>
      <c r="L44">
        <f>Constants!$B$2</f>
        <v>2.8</v>
      </c>
      <c r="M44">
        <f t="shared" si="0"/>
        <v>90</v>
      </c>
      <c r="N44">
        <f>P44*Constants!$E$2</f>
        <v>6.12</v>
      </c>
      <c r="P44">
        <f t="shared" si="1"/>
        <v>3.6</v>
      </c>
      <c r="Q44">
        <f>P44*Constants!$B$3</f>
        <v>15.119999999999997</v>
      </c>
      <c r="R44">
        <f t="shared" si="5"/>
        <v>8.9999999999999964</v>
      </c>
      <c r="S44">
        <f t="shared" si="2"/>
        <v>19.2</v>
      </c>
      <c r="T44">
        <f>S44*Constants!$B$2</f>
        <v>53.76</v>
      </c>
      <c r="V44">
        <f t="shared" si="3"/>
        <v>0</v>
      </c>
      <c r="W44">
        <f t="shared" si="4"/>
        <v>0</v>
      </c>
      <c r="AA44" s="8"/>
      <c r="AJ44" s="4"/>
    </row>
    <row r="45" spans="1:36" x14ac:dyDescent="0.25">
      <c r="A45">
        <v>44</v>
      </c>
      <c r="B45">
        <v>9</v>
      </c>
      <c r="C45" t="s">
        <v>57</v>
      </c>
      <c r="D45" s="16" t="s">
        <v>819</v>
      </c>
      <c r="E45" s="16" t="s">
        <v>818</v>
      </c>
      <c r="F45">
        <v>3.71</v>
      </c>
      <c r="G45" t="s">
        <v>44</v>
      </c>
      <c r="H45">
        <v>0</v>
      </c>
      <c r="I45">
        <v>8.5500000000000007</v>
      </c>
      <c r="L45">
        <f>Constants!$B$2</f>
        <v>2.8</v>
      </c>
      <c r="M45" t="str">
        <f t="shared" si="0"/>
        <v>N/A</v>
      </c>
      <c r="N45">
        <f>P45*Constants!$E$2</f>
        <v>0</v>
      </c>
      <c r="P45">
        <f t="shared" si="1"/>
        <v>0</v>
      </c>
      <c r="Q45">
        <f>P45*Constants!$B$3</f>
        <v>0</v>
      </c>
      <c r="R45">
        <f t="shared" si="5"/>
        <v>0</v>
      </c>
      <c r="S45">
        <f t="shared" si="2"/>
        <v>8.5500000000000007</v>
      </c>
      <c r="T45">
        <f>S45*Constants!$B$2</f>
        <v>23.94</v>
      </c>
      <c r="V45">
        <f t="shared" si="3"/>
        <v>0</v>
      </c>
      <c r="W45">
        <f t="shared" si="4"/>
        <v>0</v>
      </c>
      <c r="AA45" s="8"/>
      <c r="AJ45" s="4"/>
    </row>
    <row r="46" spans="1:36" x14ac:dyDescent="0.25">
      <c r="A46">
        <v>45</v>
      </c>
      <c r="B46">
        <v>9</v>
      </c>
      <c r="C46" t="s">
        <v>59</v>
      </c>
      <c r="D46" s="16" t="s">
        <v>820</v>
      </c>
      <c r="F46">
        <v>13.25</v>
      </c>
      <c r="G46" t="s">
        <v>44</v>
      </c>
      <c r="H46">
        <v>0</v>
      </c>
      <c r="I46">
        <f>2*1.2*(4+2.5)</f>
        <v>15.6</v>
      </c>
      <c r="L46">
        <f>Constants!$B$2</f>
        <v>2.8</v>
      </c>
      <c r="M46" t="str">
        <f t="shared" si="0"/>
        <v>N/A</v>
      </c>
      <c r="N46">
        <f>P46*Constants!$E$2</f>
        <v>0</v>
      </c>
      <c r="P46">
        <f t="shared" si="1"/>
        <v>0</v>
      </c>
      <c r="Q46">
        <f>P46*Constants!$B$3</f>
        <v>0</v>
      </c>
      <c r="R46">
        <f t="shared" si="5"/>
        <v>0</v>
      </c>
      <c r="S46">
        <f t="shared" si="2"/>
        <v>15.6</v>
      </c>
      <c r="T46">
        <f>S46*Constants!$B$2</f>
        <v>43.68</v>
      </c>
      <c r="V46">
        <f t="shared" si="3"/>
        <v>0</v>
      </c>
      <c r="W46">
        <f t="shared" si="4"/>
        <v>0</v>
      </c>
      <c r="AA46" s="8"/>
      <c r="AJ46" s="4"/>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4"/>
    </row>
    <row r="449" spans="4:4" x14ac:dyDescent="0.25">
      <c r="D449" s="14"/>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row r="456" spans="4:4" x14ac:dyDescent="0.25">
      <c r="D456" s="13"/>
    </row>
    <row r="457" spans="4:4" x14ac:dyDescent="0.25">
      <c r="D457" s="13"/>
    </row>
  </sheetData>
  <phoneticPr fontId="5" type="noConversion"/>
  <pageMargins left="0.7" right="0.7" top="0.78740157499999996" bottom="0.78740157499999996"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9:N48"/>
  <sheetViews>
    <sheetView topLeftCell="A4" zoomScaleNormal="100" workbookViewId="0">
      <selection activeCell="T12" sqref="T12"/>
    </sheetView>
  </sheetViews>
  <sheetFormatPr baseColWidth="10" defaultRowHeight="15" x14ac:dyDescent="0.25"/>
  <sheetData>
    <row r="19" spans="11:14" ht="21" x14ac:dyDescent="0.35">
      <c r="N19" s="6"/>
    </row>
    <row r="26" spans="11:14" ht="21" x14ac:dyDescent="0.35">
      <c r="K26" s="5"/>
    </row>
    <row r="48" spans="2:11" ht="21" x14ac:dyDescent="0.35">
      <c r="B48" s="6"/>
      <c r="K48" s="6"/>
    </row>
  </sheetData>
  <pageMargins left="0.7" right="0.7" top="0.78740157499999996" bottom="0.78740157499999996"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7"/>
  <sheetViews>
    <sheetView zoomScaleNormal="100" workbookViewId="0">
      <pane xSplit="4" ySplit="1" topLeftCell="E2" activePane="bottomRight" state="frozen"/>
      <selection pane="topRight" activeCell="F1" sqref="F1"/>
      <selection pane="bottomLeft" activeCell="A2" sqref="A2"/>
      <selection pane="bottomRight" activeCell="C19" sqref="C19"/>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59</v>
      </c>
      <c r="D2" s="16" t="s">
        <v>827</v>
      </c>
      <c r="F2">
        <v>27.31</v>
      </c>
      <c r="G2" t="s">
        <v>44</v>
      </c>
      <c r="H2">
        <v>0</v>
      </c>
      <c r="I2">
        <f>2*1.2*(5+4)</f>
        <v>21.599999999999998</v>
      </c>
      <c r="L2">
        <f>Constants!$B$2</f>
        <v>2.8</v>
      </c>
      <c r="M2" t="str">
        <f t="shared" ref="M2:M46" si="0">IF(N2&gt;0,G2,"N/A")</f>
        <v>N/A</v>
      </c>
      <c r="N2">
        <f>P2*Constants!$E$2</f>
        <v>0</v>
      </c>
      <c r="P2">
        <f>H2</f>
        <v>0</v>
      </c>
      <c r="Q2">
        <f>P2*Constants!$B$3</f>
        <v>0</v>
      </c>
      <c r="R2">
        <f>IF(Q2-N2&lt;=0, 0, Q2-N2)</f>
        <v>0</v>
      </c>
      <c r="S2">
        <f>I2-P2</f>
        <v>21.599999999999998</v>
      </c>
      <c r="T2">
        <f>S2*Constants!$B$2</f>
        <v>60.47999999999999</v>
      </c>
      <c r="V2">
        <f>IF(B2="E",1,0)</f>
        <v>0</v>
      </c>
      <c r="W2">
        <f>IF(B2=10,1,0)</f>
        <v>0</v>
      </c>
      <c r="AA2" s="8"/>
      <c r="AJ2" s="4"/>
    </row>
    <row r="3" spans="1:40" x14ac:dyDescent="0.25">
      <c r="A3">
        <v>2</v>
      </c>
      <c r="B3">
        <v>9</v>
      </c>
      <c r="C3" t="s">
        <v>49</v>
      </c>
      <c r="D3" s="16" t="s">
        <v>828</v>
      </c>
      <c r="F3">
        <v>24.76</v>
      </c>
      <c r="G3" t="s">
        <v>44</v>
      </c>
      <c r="H3">
        <v>0</v>
      </c>
      <c r="I3">
        <f>2*(7.8+3.6)</f>
        <v>22.8</v>
      </c>
      <c r="L3">
        <f>Constants!$B$2</f>
        <v>2.8</v>
      </c>
      <c r="M3" t="str">
        <f t="shared" si="0"/>
        <v>N/A</v>
      </c>
      <c r="N3">
        <f>P3*Constants!$E$2</f>
        <v>0</v>
      </c>
      <c r="P3">
        <f t="shared" ref="P3:P46" si="1">H3</f>
        <v>0</v>
      </c>
      <c r="Q3">
        <f>P3*Constants!$B$3</f>
        <v>0</v>
      </c>
      <c r="R3">
        <f>IF(Q3-N3&lt;=0, 0, Q3-N3)</f>
        <v>0</v>
      </c>
      <c r="S3">
        <f t="shared" ref="S3:S46" si="2">I3-P3</f>
        <v>22.8</v>
      </c>
      <c r="T3">
        <f>S3*Constants!$B$2</f>
        <v>63.839999999999996</v>
      </c>
      <c r="V3">
        <f t="shared" ref="V3:V46" si="3">IF(B3="E",1,0)</f>
        <v>0</v>
      </c>
      <c r="W3">
        <f t="shared" ref="W3:W46" si="4">IF(B3=10,1,0)</f>
        <v>0</v>
      </c>
      <c r="AA3" s="8"/>
      <c r="AJ3" s="4"/>
    </row>
    <row r="4" spans="1:40" x14ac:dyDescent="0.25">
      <c r="A4">
        <v>3</v>
      </c>
      <c r="B4">
        <v>9</v>
      </c>
      <c r="C4" t="s">
        <v>57</v>
      </c>
      <c r="D4" s="16" t="s">
        <v>829</v>
      </c>
      <c r="E4" s="16" t="s">
        <v>828</v>
      </c>
      <c r="F4">
        <f>1.2*2.1*1.2</f>
        <v>3.024</v>
      </c>
      <c r="G4" t="s">
        <v>44</v>
      </c>
      <c r="H4">
        <v>0</v>
      </c>
      <c r="I4">
        <v>7.44</v>
      </c>
      <c r="L4">
        <f>Constants!$B$2</f>
        <v>2.8</v>
      </c>
      <c r="M4" t="str">
        <f t="shared" si="0"/>
        <v>N/A</v>
      </c>
      <c r="N4">
        <f>P4*Constants!$E$2</f>
        <v>0</v>
      </c>
      <c r="P4">
        <f>H4</f>
        <v>0</v>
      </c>
      <c r="Q4">
        <f>P4*Constants!$B$3</f>
        <v>0</v>
      </c>
      <c r="R4">
        <f t="shared" ref="R4:R46" si="5">IF(Q4-N4&lt;=0, 0, Q4-N4)</f>
        <v>0</v>
      </c>
      <c r="S4">
        <f>I4-P4</f>
        <v>7.44</v>
      </c>
      <c r="T4">
        <f>S4*Constants!$B$2</f>
        <v>20.832000000000001</v>
      </c>
      <c r="V4">
        <f>IF(B4="E",1,0)</f>
        <v>0</v>
      </c>
      <c r="W4">
        <f>IF(B4=10,1,0)</f>
        <v>0</v>
      </c>
      <c r="AA4" s="8"/>
      <c r="AJ4" s="4"/>
    </row>
    <row r="5" spans="1:40" x14ac:dyDescent="0.25">
      <c r="A5">
        <v>4</v>
      </c>
      <c r="B5">
        <v>9</v>
      </c>
      <c r="C5" t="s">
        <v>49</v>
      </c>
      <c r="D5" s="16" t="s">
        <v>830</v>
      </c>
      <c r="F5">
        <v>24.58</v>
      </c>
      <c r="G5">
        <v>270</v>
      </c>
      <c r="H5">
        <v>3.6</v>
      </c>
      <c r="I5">
        <f>2*(7.8+3.6)</f>
        <v>22.8</v>
      </c>
      <c r="L5">
        <f>Constants!$B$2</f>
        <v>2.8</v>
      </c>
      <c r="M5">
        <f t="shared" si="0"/>
        <v>270</v>
      </c>
      <c r="N5">
        <f>P5*Constants!$E$2</f>
        <v>6.12</v>
      </c>
      <c r="P5">
        <f t="shared" si="1"/>
        <v>3.6</v>
      </c>
      <c r="Q5">
        <f>P5*Constants!$B$3</f>
        <v>15.119999999999997</v>
      </c>
      <c r="R5">
        <f t="shared" si="5"/>
        <v>8.9999999999999964</v>
      </c>
      <c r="S5">
        <f t="shared" si="2"/>
        <v>19.2</v>
      </c>
      <c r="T5">
        <f>S5*Constants!$B$2</f>
        <v>53.76</v>
      </c>
      <c r="V5">
        <f t="shared" si="3"/>
        <v>0</v>
      </c>
      <c r="W5">
        <f t="shared" si="4"/>
        <v>0</v>
      </c>
      <c r="AA5" s="8"/>
      <c r="AJ5" s="4"/>
    </row>
    <row r="6" spans="1:40" x14ac:dyDescent="0.25">
      <c r="A6">
        <v>5</v>
      </c>
      <c r="B6">
        <v>9</v>
      </c>
      <c r="C6" t="s">
        <v>57</v>
      </c>
      <c r="D6" s="16" t="s">
        <v>831</v>
      </c>
      <c r="E6" s="16" t="s">
        <v>830</v>
      </c>
      <c r="F6">
        <v>3.71</v>
      </c>
      <c r="G6" t="s">
        <v>44</v>
      </c>
      <c r="H6">
        <v>0</v>
      </c>
      <c r="I6">
        <v>7.44</v>
      </c>
      <c r="L6">
        <f>Constants!$B$2</f>
        <v>2.8</v>
      </c>
      <c r="M6" t="str">
        <f t="shared" si="0"/>
        <v>N/A</v>
      </c>
      <c r="N6">
        <f>P6*Constants!$E$2</f>
        <v>0</v>
      </c>
      <c r="P6">
        <f>H6</f>
        <v>0</v>
      </c>
      <c r="Q6">
        <f>P6*Constants!$B$3</f>
        <v>0</v>
      </c>
      <c r="R6">
        <f t="shared" si="5"/>
        <v>0</v>
      </c>
      <c r="S6">
        <f>I6-P6</f>
        <v>7.44</v>
      </c>
      <c r="T6">
        <f>S6*Constants!$B$2</f>
        <v>20.832000000000001</v>
      </c>
      <c r="V6">
        <f>IF(B6="E",1,0)</f>
        <v>0</v>
      </c>
      <c r="W6">
        <f>IF(B6=10,1,0)</f>
        <v>0</v>
      </c>
      <c r="AA6" s="8"/>
      <c r="AJ6" s="4"/>
    </row>
    <row r="7" spans="1:40" x14ac:dyDescent="0.25">
      <c r="A7">
        <v>6</v>
      </c>
      <c r="B7">
        <v>9</v>
      </c>
      <c r="C7" t="s">
        <v>49</v>
      </c>
      <c r="D7" s="16" t="s">
        <v>832</v>
      </c>
      <c r="F7">
        <v>24.58</v>
      </c>
      <c r="G7">
        <v>270</v>
      </c>
      <c r="H7">
        <v>3.6</v>
      </c>
      <c r="I7">
        <f>2*(7.8+3.6)</f>
        <v>22.8</v>
      </c>
      <c r="L7">
        <f>Constants!$B$2</f>
        <v>2.8</v>
      </c>
      <c r="M7">
        <f t="shared" si="0"/>
        <v>270</v>
      </c>
      <c r="N7">
        <f>P7*Constants!$E$2</f>
        <v>6.12</v>
      </c>
      <c r="P7">
        <f t="shared" ref="P7:P8" si="6">H7</f>
        <v>3.6</v>
      </c>
      <c r="Q7">
        <f>P7*Constants!$B$3</f>
        <v>15.119999999999997</v>
      </c>
      <c r="R7">
        <f t="shared" si="5"/>
        <v>8.9999999999999964</v>
      </c>
      <c r="S7">
        <f t="shared" ref="S7:S8" si="7">I7-P7</f>
        <v>19.2</v>
      </c>
      <c r="T7">
        <f>S7*Constants!$B$2</f>
        <v>53.76</v>
      </c>
      <c r="V7">
        <f t="shared" ref="V7:V8" si="8">IF(B7="E",1,0)</f>
        <v>0</v>
      </c>
      <c r="W7">
        <f t="shared" ref="W7:W8" si="9">IF(B7=10,1,0)</f>
        <v>0</v>
      </c>
      <c r="AA7" s="8"/>
      <c r="AJ7" s="4"/>
    </row>
    <row r="8" spans="1:40" x14ac:dyDescent="0.25">
      <c r="A8">
        <v>7</v>
      </c>
      <c r="B8">
        <v>9</v>
      </c>
      <c r="C8" t="s">
        <v>57</v>
      </c>
      <c r="D8" s="16" t="s">
        <v>833</v>
      </c>
      <c r="E8" s="16" t="s">
        <v>832</v>
      </c>
      <c r="F8">
        <v>3.71</v>
      </c>
      <c r="G8" t="s">
        <v>44</v>
      </c>
      <c r="H8">
        <v>0</v>
      </c>
      <c r="I8">
        <v>7.44</v>
      </c>
      <c r="L8">
        <f>Constants!$B$2</f>
        <v>2.8</v>
      </c>
      <c r="M8" t="str">
        <f t="shared" si="0"/>
        <v>N/A</v>
      </c>
      <c r="N8">
        <f>P8*Constants!$E$2</f>
        <v>0</v>
      </c>
      <c r="P8">
        <f t="shared" si="6"/>
        <v>0</v>
      </c>
      <c r="Q8">
        <f>P8*Constants!$B$3</f>
        <v>0</v>
      </c>
      <c r="R8">
        <f t="shared" si="5"/>
        <v>0</v>
      </c>
      <c r="S8">
        <f t="shared" si="7"/>
        <v>7.44</v>
      </c>
      <c r="T8">
        <f>S8*Constants!$B$2</f>
        <v>20.832000000000001</v>
      </c>
      <c r="V8">
        <f t="shared" si="8"/>
        <v>0</v>
      </c>
      <c r="W8">
        <f t="shared" si="9"/>
        <v>0</v>
      </c>
      <c r="AA8" s="8"/>
      <c r="AJ8" s="4"/>
    </row>
    <row r="9" spans="1:40" x14ac:dyDescent="0.25">
      <c r="A9">
        <v>8</v>
      </c>
      <c r="B9">
        <v>9</v>
      </c>
      <c r="C9" t="s">
        <v>49</v>
      </c>
      <c r="D9" s="16" t="s">
        <v>834</v>
      </c>
      <c r="F9">
        <v>12.56</v>
      </c>
      <c r="G9">
        <v>270</v>
      </c>
      <c r="H9">
        <v>3</v>
      </c>
      <c r="I9">
        <f>2*1.2*(4+2.5)</f>
        <v>15.6</v>
      </c>
      <c r="L9">
        <f>Constants!$B$2</f>
        <v>2.8</v>
      </c>
      <c r="M9">
        <f t="shared" si="0"/>
        <v>270</v>
      </c>
      <c r="N9">
        <f>P9*Constants!$E$2</f>
        <v>5.0999999999999996</v>
      </c>
      <c r="P9">
        <f t="shared" si="1"/>
        <v>3</v>
      </c>
      <c r="Q9">
        <f>P9*Constants!$B$3</f>
        <v>12.599999999999998</v>
      </c>
      <c r="R9">
        <f t="shared" si="5"/>
        <v>7.4999999999999982</v>
      </c>
      <c r="S9">
        <f t="shared" si="2"/>
        <v>12.6</v>
      </c>
      <c r="T9">
        <f>S9*Constants!$B$2</f>
        <v>35.279999999999994</v>
      </c>
      <c r="V9">
        <f t="shared" si="3"/>
        <v>0</v>
      </c>
      <c r="W9">
        <f t="shared" si="4"/>
        <v>0</v>
      </c>
      <c r="AA9" s="8"/>
      <c r="AJ9" s="4"/>
    </row>
    <row r="10" spans="1:40" x14ac:dyDescent="0.25">
      <c r="A10">
        <v>9</v>
      </c>
      <c r="B10">
        <v>9</v>
      </c>
      <c r="C10" t="s">
        <v>49</v>
      </c>
      <c r="D10" s="16" t="s">
        <v>835</v>
      </c>
      <c r="F10">
        <v>25.06</v>
      </c>
      <c r="G10">
        <v>270</v>
      </c>
      <c r="H10">
        <v>3</v>
      </c>
      <c r="I10">
        <f>2*1.2*(6.5+4)</f>
        <v>25.2</v>
      </c>
      <c r="L10">
        <f>Constants!$B$2</f>
        <v>2.8</v>
      </c>
      <c r="M10">
        <f t="shared" si="0"/>
        <v>270</v>
      </c>
      <c r="N10">
        <f>P10*Constants!$E$2</f>
        <v>5.0999999999999996</v>
      </c>
      <c r="P10">
        <f t="shared" si="1"/>
        <v>3</v>
      </c>
      <c r="Q10">
        <f>P10*Constants!$B$3</f>
        <v>12.599999999999998</v>
      </c>
      <c r="R10">
        <f t="shared" si="5"/>
        <v>7.4999999999999982</v>
      </c>
      <c r="S10">
        <f t="shared" si="2"/>
        <v>22.2</v>
      </c>
      <c r="T10">
        <f>S10*Constants!$B$2</f>
        <v>62.16</v>
      </c>
      <c r="V10">
        <f t="shared" si="3"/>
        <v>0</v>
      </c>
      <c r="W10">
        <f t="shared" si="4"/>
        <v>0</v>
      </c>
      <c r="AA10" s="8"/>
      <c r="AJ10" s="4"/>
    </row>
    <row r="11" spans="1:40" x14ac:dyDescent="0.25">
      <c r="A11">
        <v>10</v>
      </c>
      <c r="B11">
        <v>9</v>
      </c>
      <c r="C11" t="s">
        <v>57</v>
      </c>
      <c r="D11" s="16" t="s">
        <v>836</v>
      </c>
      <c r="E11" s="16" t="s">
        <v>835</v>
      </c>
      <c r="F11">
        <v>3.71</v>
      </c>
      <c r="G11" t="s">
        <v>44</v>
      </c>
      <c r="H11">
        <v>0</v>
      </c>
      <c r="I11">
        <v>7.44</v>
      </c>
      <c r="L11">
        <f>Constants!$B$2</f>
        <v>2.8</v>
      </c>
      <c r="M11" t="str">
        <f t="shared" si="0"/>
        <v>N/A</v>
      </c>
      <c r="N11">
        <f>P11*Constants!$E$2</f>
        <v>0</v>
      </c>
      <c r="P11">
        <f t="shared" si="1"/>
        <v>0</v>
      </c>
      <c r="Q11">
        <f>P11*Constants!$B$3</f>
        <v>0</v>
      </c>
      <c r="R11">
        <f t="shared" si="5"/>
        <v>0</v>
      </c>
      <c r="S11">
        <f t="shared" si="2"/>
        <v>7.44</v>
      </c>
      <c r="T11">
        <f>S11*Constants!$B$2</f>
        <v>20.832000000000001</v>
      </c>
      <c r="V11">
        <f t="shared" si="3"/>
        <v>0</v>
      </c>
      <c r="W11">
        <f t="shared" si="4"/>
        <v>0</v>
      </c>
      <c r="AA11" s="8"/>
      <c r="AJ11" s="4"/>
    </row>
    <row r="12" spans="1:40" x14ac:dyDescent="0.25">
      <c r="A12">
        <v>11</v>
      </c>
      <c r="B12">
        <v>9</v>
      </c>
      <c r="C12" t="s">
        <v>45</v>
      </c>
      <c r="D12" s="16" t="s">
        <v>837</v>
      </c>
      <c r="E12" s="16"/>
      <c r="F12">
        <v>7.76</v>
      </c>
      <c r="G12" t="s">
        <v>44</v>
      </c>
      <c r="H12">
        <v>0</v>
      </c>
      <c r="I12">
        <f>2*1.2*(2+3)</f>
        <v>12</v>
      </c>
      <c r="L12">
        <f>Constants!$B$2</f>
        <v>2.8</v>
      </c>
      <c r="M12" t="str">
        <f t="shared" si="0"/>
        <v>N/A</v>
      </c>
      <c r="N12">
        <f>P12*Constants!$E$2</f>
        <v>0</v>
      </c>
      <c r="P12">
        <f t="shared" si="1"/>
        <v>0</v>
      </c>
      <c r="Q12">
        <f>P12*Constants!$B$3</f>
        <v>0</v>
      </c>
      <c r="R12">
        <f t="shared" si="5"/>
        <v>0</v>
      </c>
      <c r="S12">
        <f t="shared" si="2"/>
        <v>12</v>
      </c>
      <c r="T12">
        <f>S12*Constants!$B$2</f>
        <v>33.599999999999994</v>
      </c>
      <c r="V12">
        <f t="shared" si="3"/>
        <v>0</v>
      </c>
      <c r="W12">
        <f t="shared" si="4"/>
        <v>0</v>
      </c>
      <c r="AA12" s="8"/>
      <c r="AJ12" s="4"/>
    </row>
    <row r="13" spans="1:40" x14ac:dyDescent="0.25">
      <c r="A13">
        <v>12</v>
      </c>
      <c r="B13">
        <v>9</v>
      </c>
      <c r="C13" t="s">
        <v>49</v>
      </c>
      <c r="D13" s="16" t="s">
        <v>839</v>
      </c>
      <c r="F13">
        <v>11.46</v>
      </c>
      <c r="G13">
        <v>270</v>
      </c>
      <c r="H13">
        <v>3</v>
      </c>
      <c r="I13">
        <f>2*1.2*(2.5+3.5)</f>
        <v>14.399999999999999</v>
      </c>
      <c r="L13">
        <f>Constants!$B$2</f>
        <v>2.8</v>
      </c>
      <c r="M13">
        <f t="shared" si="0"/>
        <v>270</v>
      </c>
      <c r="N13">
        <f>P13*Constants!$E$2</f>
        <v>5.0999999999999996</v>
      </c>
      <c r="P13">
        <f t="shared" si="1"/>
        <v>3</v>
      </c>
      <c r="Q13">
        <f>P13*Constants!$B$3</f>
        <v>12.599999999999998</v>
      </c>
      <c r="R13">
        <f t="shared" si="5"/>
        <v>7.4999999999999982</v>
      </c>
      <c r="S13">
        <f t="shared" si="2"/>
        <v>11.399999999999999</v>
      </c>
      <c r="T13">
        <f>S13*Constants!$B$2</f>
        <v>31.919999999999995</v>
      </c>
      <c r="V13">
        <f t="shared" si="3"/>
        <v>0</v>
      </c>
      <c r="W13">
        <f t="shared" si="4"/>
        <v>0</v>
      </c>
      <c r="AA13" s="8"/>
      <c r="AJ13" s="4"/>
    </row>
    <row r="14" spans="1:40" x14ac:dyDescent="0.25">
      <c r="A14">
        <v>13</v>
      </c>
      <c r="B14">
        <v>9</v>
      </c>
      <c r="C14" t="s">
        <v>49</v>
      </c>
      <c r="D14" s="16" t="s">
        <v>840</v>
      </c>
      <c r="F14">
        <v>26.14</v>
      </c>
      <c r="G14">
        <v>270</v>
      </c>
      <c r="H14">
        <v>3</v>
      </c>
      <c r="I14">
        <f>2*1.2*(6.5+4)</f>
        <v>25.2</v>
      </c>
      <c r="L14">
        <f>Constants!$B$2</f>
        <v>2.8</v>
      </c>
      <c r="M14">
        <f t="shared" si="0"/>
        <v>270</v>
      </c>
      <c r="N14">
        <f>P14*Constants!$E$2</f>
        <v>5.0999999999999996</v>
      </c>
      <c r="P14">
        <f t="shared" si="1"/>
        <v>3</v>
      </c>
      <c r="Q14">
        <f>P14*Constants!$B$3</f>
        <v>12.599999999999998</v>
      </c>
      <c r="R14">
        <f t="shared" si="5"/>
        <v>7.4999999999999982</v>
      </c>
      <c r="S14">
        <f t="shared" si="2"/>
        <v>22.2</v>
      </c>
      <c r="T14">
        <f>S14*Constants!$B$2</f>
        <v>62.16</v>
      </c>
      <c r="V14">
        <f t="shared" si="3"/>
        <v>0</v>
      </c>
      <c r="W14">
        <f t="shared" si="4"/>
        <v>0</v>
      </c>
      <c r="AA14" s="8"/>
      <c r="AJ14" s="4"/>
    </row>
    <row r="15" spans="1:40" x14ac:dyDescent="0.25">
      <c r="A15">
        <v>14</v>
      </c>
      <c r="B15">
        <v>9</v>
      </c>
      <c r="C15" t="s">
        <v>57</v>
      </c>
      <c r="D15" s="16" t="s">
        <v>838</v>
      </c>
      <c r="E15" s="16" t="s">
        <v>840</v>
      </c>
      <c r="F15">
        <v>3.71</v>
      </c>
      <c r="G15" t="s">
        <v>44</v>
      </c>
      <c r="H15">
        <v>0</v>
      </c>
      <c r="I15">
        <v>7.44</v>
      </c>
      <c r="L15">
        <f>Constants!$B$2</f>
        <v>2.8</v>
      </c>
      <c r="M15" t="str">
        <f t="shared" si="0"/>
        <v>N/A</v>
      </c>
      <c r="N15">
        <f>P15*Constants!$E$2</f>
        <v>0</v>
      </c>
      <c r="P15">
        <f t="shared" si="1"/>
        <v>0</v>
      </c>
      <c r="Q15">
        <f>P15*Constants!$B$3</f>
        <v>0</v>
      </c>
      <c r="R15">
        <f t="shared" si="5"/>
        <v>0</v>
      </c>
      <c r="S15">
        <f t="shared" si="2"/>
        <v>7.44</v>
      </c>
      <c r="T15">
        <f>S15*Constants!$B$2</f>
        <v>20.832000000000001</v>
      </c>
      <c r="V15">
        <f t="shared" si="3"/>
        <v>0</v>
      </c>
      <c r="W15">
        <f t="shared" si="4"/>
        <v>0</v>
      </c>
      <c r="AA15" s="8"/>
      <c r="AJ15" s="4"/>
    </row>
    <row r="16" spans="1:40" x14ac:dyDescent="0.25">
      <c r="A16">
        <v>15</v>
      </c>
      <c r="B16">
        <v>9</v>
      </c>
      <c r="C16" t="s">
        <v>49</v>
      </c>
      <c r="D16" s="16" t="s">
        <v>841</v>
      </c>
      <c r="F16">
        <v>24.58</v>
      </c>
      <c r="G16">
        <v>270</v>
      </c>
      <c r="H16">
        <v>3.6</v>
      </c>
      <c r="I16">
        <f>2*1.2*(6+3)</f>
        <v>21.599999999999998</v>
      </c>
      <c r="L16">
        <f>Constants!$B$2</f>
        <v>2.8</v>
      </c>
      <c r="M16">
        <f>IF(N16&gt;0,G16,"N/A")</f>
        <v>270</v>
      </c>
      <c r="N16">
        <f>P16*Constants!$E$2</f>
        <v>6.12</v>
      </c>
      <c r="P16">
        <f>H16</f>
        <v>3.6</v>
      </c>
      <c r="Q16">
        <f>P16*Constants!$B$3</f>
        <v>15.119999999999997</v>
      </c>
      <c r="R16">
        <f t="shared" si="5"/>
        <v>8.9999999999999964</v>
      </c>
      <c r="S16">
        <f>I16-P16</f>
        <v>17.999999999999996</v>
      </c>
      <c r="T16">
        <f>S16*Constants!$B$2</f>
        <v>50.399999999999984</v>
      </c>
      <c r="V16">
        <f t="shared" si="3"/>
        <v>0</v>
      </c>
      <c r="W16">
        <f t="shared" si="4"/>
        <v>0</v>
      </c>
      <c r="AA16" s="8"/>
      <c r="AJ16" s="4"/>
    </row>
    <row r="17" spans="1:36" x14ac:dyDescent="0.25">
      <c r="A17">
        <v>16</v>
      </c>
      <c r="B17">
        <v>9</v>
      </c>
      <c r="C17" t="s">
        <v>57</v>
      </c>
      <c r="D17" s="16" t="s">
        <v>838</v>
      </c>
      <c r="E17" s="16" t="s">
        <v>840</v>
      </c>
      <c r="F17">
        <v>3.71</v>
      </c>
      <c r="G17" t="s">
        <v>44</v>
      </c>
      <c r="H17">
        <v>0</v>
      </c>
      <c r="I17">
        <v>7.44</v>
      </c>
      <c r="L17">
        <f>Constants!$B$2</f>
        <v>2.8</v>
      </c>
      <c r="M17" t="str">
        <f t="shared" ref="M17" si="10">IF(N17&gt;0,G17,"N/A")</f>
        <v>N/A</v>
      </c>
      <c r="N17">
        <f>P17*Constants!$E$2</f>
        <v>0</v>
      </c>
      <c r="P17">
        <f t="shared" ref="P17" si="11">H17</f>
        <v>0</v>
      </c>
      <c r="Q17">
        <f>P17*Constants!$B$3</f>
        <v>0</v>
      </c>
      <c r="R17">
        <f t="shared" si="5"/>
        <v>0</v>
      </c>
      <c r="S17">
        <f t="shared" ref="S17" si="12">I17-P17</f>
        <v>7.44</v>
      </c>
      <c r="T17">
        <f>S17*Constants!$B$2</f>
        <v>20.832000000000001</v>
      </c>
      <c r="V17">
        <f t="shared" si="3"/>
        <v>0</v>
      </c>
      <c r="W17">
        <f t="shared" si="4"/>
        <v>0</v>
      </c>
      <c r="AA17" s="8"/>
      <c r="AJ17" s="4"/>
    </row>
    <row r="18" spans="1:36" x14ac:dyDescent="0.25">
      <c r="A18">
        <v>17</v>
      </c>
      <c r="B18">
        <v>9</v>
      </c>
      <c r="C18" t="s">
        <v>49</v>
      </c>
      <c r="D18" s="16" t="s">
        <v>842</v>
      </c>
      <c r="F18">
        <v>24.56</v>
      </c>
      <c r="G18">
        <v>270</v>
      </c>
      <c r="H18">
        <v>3.6</v>
      </c>
      <c r="I18">
        <f>2*(7.8+3.6)</f>
        <v>22.8</v>
      </c>
      <c r="L18">
        <f>Constants!$B$2</f>
        <v>2.8</v>
      </c>
      <c r="M18">
        <f t="shared" si="0"/>
        <v>270</v>
      </c>
      <c r="N18">
        <f>P18*Constants!$E$2</f>
        <v>6.12</v>
      </c>
      <c r="P18">
        <f t="shared" si="1"/>
        <v>3.6</v>
      </c>
      <c r="Q18">
        <f>P18*Constants!$B$3</f>
        <v>15.119999999999997</v>
      </c>
      <c r="R18">
        <f t="shared" si="5"/>
        <v>8.9999999999999964</v>
      </c>
      <c r="S18">
        <f t="shared" si="2"/>
        <v>19.2</v>
      </c>
      <c r="T18">
        <f>S18*Constants!$B$2</f>
        <v>53.76</v>
      </c>
      <c r="V18">
        <f t="shared" si="3"/>
        <v>0</v>
      </c>
      <c r="W18">
        <f t="shared" si="4"/>
        <v>0</v>
      </c>
      <c r="AA18" s="8"/>
      <c r="AJ18" s="4"/>
    </row>
    <row r="19" spans="1:36" x14ac:dyDescent="0.25">
      <c r="A19">
        <v>18</v>
      </c>
      <c r="B19">
        <v>9</v>
      </c>
      <c r="C19" t="s">
        <v>57</v>
      </c>
      <c r="D19" s="16" t="s">
        <v>843</v>
      </c>
      <c r="E19" s="16" t="s">
        <v>842</v>
      </c>
      <c r="F19">
        <v>3.71</v>
      </c>
      <c r="G19" t="s">
        <v>44</v>
      </c>
      <c r="H19">
        <v>0</v>
      </c>
      <c r="I19">
        <v>8.5500000000000007</v>
      </c>
      <c r="L19">
        <f>Constants!$B$2</f>
        <v>2.8</v>
      </c>
      <c r="M19" t="str">
        <f t="shared" si="0"/>
        <v>N/A</v>
      </c>
      <c r="N19">
        <f>P19*Constants!$E$2</f>
        <v>0</v>
      </c>
      <c r="P19">
        <f t="shared" si="1"/>
        <v>0</v>
      </c>
      <c r="Q19">
        <f>P19*Constants!$B$3</f>
        <v>0</v>
      </c>
      <c r="R19">
        <f t="shared" si="5"/>
        <v>0</v>
      </c>
      <c r="S19">
        <f t="shared" si="2"/>
        <v>8.5500000000000007</v>
      </c>
      <c r="T19">
        <f>S19*Constants!$B$2</f>
        <v>23.94</v>
      </c>
      <c r="V19">
        <f t="shared" si="3"/>
        <v>0</v>
      </c>
      <c r="W19">
        <f t="shared" si="4"/>
        <v>0</v>
      </c>
      <c r="AA19" s="8"/>
      <c r="AJ19" s="4"/>
    </row>
    <row r="20" spans="1:36" x14ac:dyDescent="0.25">
      <c r="A20">
        <v>19</v>
      </c>
      <c r="B20">
        <v>9</v>
      </c>
      <c r="C20" t="s">
        <v>49</v>
      </c>
      <c r="D20" s="16" t="s">
        <v>848</v>
      </c>
      <c r="F20">
        <v>24.56</v>
      </c>
      <c r="G20">
        <v>270</v>
      </c>
      <c r="H20">
        <v>6.9</v>
      </c>
      <c r="I20">
        <f>2*(7.8+3.6)</f>
        <v>22.8</v>
      </c>
      <c r="L20">
        <f>Constants!$B$2</f>
        <v>2.8</v>
      </c>
      <c r="M20">
        <f t="shared" si="0"/>
        <v>270</v>
      </c>
      <c r="N20">
        <f>P20*Constants!$E$2</f>
        <v>11.73</v>
      </c>
      <c r="P20">
        <f t="shared" si="1"/>
        <v>6.9</v>
      </c>
      <c r="Q20">
        <f>P20*Constants!$B$3</f>
        <v>28.979999999999997</v>
      </c>
      <c r="R20">
        <f t="shared" si="5"/>
        <v>17.249999999999996</v>
      </c>
      <c r="S20">
        <f t="shared" si="2"/>
        <v>15.9</v>
      </c>
      <c r="T20">
        <f>S20*Constants!$B$2</f>
        <v>44.519999999999996</v>
      </c>
      <c r="V20">
        <f t="shared" si="3"/>
        <v>0</v>
      </c>
      <c r="W20">
        <f t="shared" si="4"/>
        <v>0</v>
      </c>
      <c r="AA20" s="8"/>
      <c r="AJ20" s="4"/>
    </row>
    <row r="21" spans="1:36" x14ac:dyDescent="0.25">
      <c r="A21">
        <v>20</v>
      </c>
      <c r="B21">
        <v>9</v>
      </c>
      <c r="C21" t="s">
        <v>57</v>
      </c>
      <c r="D21" s="16" t="s">
        <v>867</v>
      </c>
      <c r="E21" s="16" t="s">
        <v>848</v>
      </c>
      <c r="F21">
        <v>3.71</v>
      </c>
      <c r="G21" t="s">
        <v>44</v>
      </c>
      <c r="H21">
        <v>0</v>
      </c>
      <c r="I21">
        <v>8.5500000000000007</v>
      </c>
      <c r="L21">
        <f>Constants!$B$2</f>
        <v>2.8</v>
      </c>
      <c r="M21" t="str">
        <f t="shared" si="0"/>
        <v>N/A</v>
      </c>
      <c r="N21">
        <f>P21*Constants!$E$2</f>
        <v>0</v>
      </c>
      <c r="P21">
        <f t="shared" si="1"/>
        <v>0</v>
      </c>
      <c r="Q21">
        <f>P21*Constants!$B$3</f>
        <v>0</v>
      </c>
      <c r="R21">
        <f t="shared" si="5"/>
        <v>0</v>
      </c>
      <c r="S21">
        <f t="shared" si="2"/>
        <v>8.5500000000000007</v>
      </c>
      <c r="T21">
        <f>S21*Constants!$B$2</f>
        <v>23.94</v>
      </c>
      <c r="V21">
        <f t="shared" si="3"/>
        <v>0</v>
      </c>
      <c r="W21">
        <f t="shared" si="4"/>
        <v>0</v>
      </c>
      <c r="AA21" s="8"/>
      <c r="AJ21" s="4"/>
    </row>
    <row r="22" spans="1:36" x14ac:dyDescent="0.25">
      <c r="A22">
        <v>21</v>
      </c>
      <c r="B22">
        <v>9</v>
      </c>
      <c r="C22" t="s">
        <v>62</v>
      </c>
      <c r="D22" s="16" t="s">
        <v>849</v>
      </c>
      <c r="F22">
        <v>20.76</v>
      </c>
      <c r="G22">
        <v>0</v>
      </c>
      <c r="H22">
        <v>4</v>
      </c>
      <c r="I22">
        <f>2*(4+5.3)</f>
        <v>18.600000000000001</v>
      </c>
      <c r="L22">
        <f>Constants!$B$2</f>
        <v>2.8</v>
      </c>
      <c r="M22">
        <f t="shared" si="0"/>
        <v>0</v>
      </c>
      <c r="N22">
        <f>P22*Constants!$E$2</f>
        <v>6.8</v>
      </c>
      <c r="P22">
        <f t="shared" si="1"/>
        <v>4</v>
      </c>
      <c r="Q22">
        <f>P22*Constants!$B$3</f>
        <v>16.799999999999997</v>
      </c>
      <c r="R22">
        <f t="shared" si="5"/>
        <v>9.9999999999999964</v>
      </c>
      <c r="S22">
        <f t="shared" si="2"/>
        <v>14.600000000000001</v>
      </c>
      <c r="T22">
        <f>S22*Constants!$B$2</f>
        <v>40.880000000000003</v>
      </c>
      <c r="V22">
        <f t="shared" si="3"/>
        <v>0</v>
      </c>
      <c r="W22">
        <f t="shared" si="4"/>
        <v>0</v>
      </c>
      <c r="AA22" s="8"/>
      <c r="AJ22" s="4"/>
    </row>
    <row r="23" spans="1:36" x14ac:dyDescent="0.25">
      <c r="A23">
        <v>22</v>
      </c>
      <c r="B23">
        <v>9</v>
      </c>
      <c r="C23" t="s">
        <v>64</v>
      </c>
      <c r="D23" s="16" t="s">
        <v>850</v>
      </c>
      <c r="F23">
        <v>3.72</v>
      </c>
      <c r="G23">
        <v>90</v>
      </c>
      <c r="H23">
        <v>1.4</v>
      </c>
      <c r="I23">
        <f>2*(3.5+1.4)</f>
        <v>9.8000000000000007</v>
      </c>
      <c r="L23">
        <f>Constants!$B$2</f>
        <v>2.8</v>
      </c>
      <c r="M23">
        <f t="shared" si="0"/>
        <v>90</v>
      </c>
      <c r="N23">
        <f>P23*Constants!$E$2</f>
        <v>2.38</v>
      </c>
      <c r="P23">
        <f t="shared" si="1"/>
        <v>1.4</v>
      </c>
      <c r="Q23">
        <f>P23*Constants!$B$3</f>
        <v>5.879999999999999</v>
      </c>
      <c r="R23">
        <f t="shared" si="5"/>
        <v>3.4999999999999991</v>
      </c>
      <c r="S23">
        <f t="shared" si="2"/>
        <v>8.4</v>
      </c>
      <c r="T23">
        <f>S23*Constants!$B$2</f>
        <v>23.52</v>
      </c>
      <c r="V23">
        <f t="shared" si="3"/>
        <v>0</v>
      </c>
      <c r="W23">
        <f t="shared" si="4"/>
        <v>0</v>
      </c>
      <c r="AA23" s="8"/>
      <c r="AJ23" s="4"/>
    </row>
    <row r="24" spans="1:36" x14ac:dyDescent="0.25">
      <c r="A24">
        <v>23</v>
      </c>
      <c r="B24">
        <v>9</v>
      </c>
      <c r="C24" t="s">
        <v>64</v>
      </c>
      <c r="D24" s="16" t="s">
        <v>851</v>
      </c>
      <c r="F24">
        <v>3.72</v>
      </c>
      <c r="G24">
        <v>90</v>
      </c>
      <c r="H24">
        <v>1.4</v>
      </c>
      <c r="I24">
        <f>2*(3.5+1.4)</f>
        <v>9.8000000000000007</v>
      </c>
      <c r="L24">
        <f>Constants!$B$2</f>
        <v>2.8</v>
      </c>
      <c r="M24">
        <f t="shared" si="0"/>
        <v>90</v>
      </c>
      <c r="N24">
        <f>P24*Constants!$E$2</f>
        <v>2.38</v>
      </c>
      <c r="P24">
        <f t="shared" si="1"/>
        <v>1.4</v>
      </c>
      <c r="Q24">
        <f>P24*Constants!$B$3</f>
        <v>5.879999999999999</v>
      </c>
      <c r="R24">
        <f t="shared" si="5"/>
        <v>3.4999999999999991</v>
      </c>
      <c r="S24">
        <f t="shared" si="2"/>
        <v>8.4</v>
      </c>
      <c r="T24">
        <f>S24*Constants!$B$2</f>
        <v>23.52</v>
      </c>
      <c r="V24">
        <f t="shared" si="3"/>
        <v>0</v>
      </c>
      <c r="W24">
        <f t="shared" si="4"/>
        <v>0</v>
      </c>
      <c r="AA24" s="8"/>
      <c r="AJ24" s="4"/>
    </row>
    <row r="25" spans="1:36" x14ac:dyDescent="0.25">
      <c r="A25">
        <v>24</v>
      </c>
      <c r="B25">
        <v>9</v>
      </c>
      <c r="C25" t="s">
        <v>62</v>
      </c>
      <c r="D25" s="16" t="s">
        <v>852</v>
      </c>
      <c r="F25">
        <f>56.65+68.9</f>
        <v>125.55000000000001</v>
      </c>
      <c r="G25" t="s">
        <v>44</v>
      </c>
      <c r="H25">
        <v>0</v>
      </c>
      <c r="I25">
        <v>100.25</v>
      </c>
      <c r="L25">
        <f>Constants!$B$2</f>
        <v>2.8</v>
      </c>
      <c r="M25" t="str">
        <f t="shared" si="0"/>
        <v>N/A</v>
      </c>
      <c r="N25">
        <f>P25*Constants!$E$2</f>
        <v>0</v>
      </c>
      <c r="P25">
        <f t="shared" si="1"/>
        <v>0</v>
      </c>
      <c r="Q25">
        <f>P25*Constants!$B$3</f>
        <v>0</v>
      </c>
      <c r="R25">
        <f t="shared" si="5"/>
        <v>0</v>
      </c>
      <c r="S25">
        <f t="shared" si="2"/>
        <v>100.25</v>
      </c>
      <c r="T25">
        <f>S25*Constants!$B$2</f>
        <v>280.7</v>
      </c>
      <c r="V25">
        <f t="shared" si="3"/>
        <v>0</v>
      </c>
      <c r="W25">
        <f t="shared" si="4"/>
        <v>0</v>
      </c>
      <c r="AA25" s="8"/>
      <c r="AJ25" s="4"/>
    </row>
    <row r="26" spans="1:36" x14ac:dyDescent="0.25">
      <c r="A26">
        <v>25</v>
      </c>
      <c r="B26">
        <v>9</v>
      </c>
      <c r="C26" t="s">
        <v>49</v>
      </c>
      <c r="D26" s="16" t="s">
        <v>844</v>
      </c>
      <c r="E26" s="16"/>
      <c r="F26">
        <v>24.76</v>
      </c>
      <c r="G26">
        <v>90</v>
      </c>
      <c r="H26">
        <f>3.3+3.6</f>
        <v>6.9</v>
      </c>
      <c r="I26">
        <f>2*(7.8+3.6)</f>
        <v>22.8</v>
      </c>
      <c r="L26">
        <f>Constants!$B$2</f>
        <v>2.8</v>
      </c>
      <c r="M26">
        <f t="shared" si="0"/>
        <v>90</v>
      </c>
      <c r="N26">
        <f>P26*Constants!$E$2</f>
        <v>11.73</v>
      </c>
      <c r="P26">
        <f t="shared" si="1"/>
        <v>6.9</v>
      </c>
      <c r="Q26">
        <f>P26*Constants!$B$3</f>
        <v>28.979999999999997</v>
      </c>
      <c r="R26">
        <f t="shared" si="5"/>
        <v>17.249999999999996</v>
      </c>
      <c r="S26">
        <f t="shared" si="2"/>
        <v>15.9</v>
      </c>
      <c r="T26">
        <f>S26*Constants!$B$2</f>
        <v>44.519999999999996</v>
      </c>
      <c r="V26">
        <f t="shared" si="3"/>
        <v>0</v>
      </c>
      <c r="W26">
        <f t="shared" si="4"/>
        <v>0</v>
      </c>
      <c r="AA26" s="8"/>
      <c r="AJ26" s="4"/>
    </row>
    <row r="27" spans="1:36" x14ac:dyDescent="0.25">
      <c r="A27">
        <v>26</v>
      </c>
      <c r="B27">
        <v>9</v>
      </c>
      <c r="C27" t="s">
        <v>57</v>
      </c>
      <c r="D27" s="16" t="s">
        <v>845</v>
      </c>
      <c r="E27" s="16" t="s">
        <v>844</v>
      </c>
      <c r="F27">
        <v>2.2400000000000002</v>
      </c>
      <c r="G27" t="s">
        <v>44</v>
      </c>
      <c r="H27">
        <v>0</v>
      </c>
      <c r="I27">
        <v>8.5500000000000007</v>
      </c>
      <c r="L27">
        <f>Constants!$B$2</f>
        <v>2.8</v>
      </c>
      <c r="M27" t="str">
        <f t="shared" si="0"/>
        <v>N/A</v>
      </c>
      <c r="N27">
        <f>P27*Constants!$E$2</f>
        <v>0</v>
      </c>
      <c r="P27">
        <f t="shared" si="1"/>
        <v>0</v>
      </c>
      <c r="Q27">
        <f>P27*Constants!$B$3</f>
        <v>0</v>
      </c>
      <c r="R27">
        <f t="shared" si="5"/>
        <v>0</v>
      </c>
      <c r="S27">
        <f t="shared" si="2"/>
        <v>8.5500000000000007</v>
      </c>
      <c r="T27">
        <f>S27*Constants!$B$2</f>
        <v>23.94</v>
      </c>
      <c r="V27">
        <f t="shared" si="3"/>
        <v>0</v>
      </c>
      <c r="W27">
        <f t="shared" si="4"/>
        <v>0</v>
      </c>
      <c r="AA27" s="8"/>
      <c r="AJ27" s="4"/>
    </row>
    <row r="28" spans="1:36" x14ac:dyDescent="0.25">
      <c r="A28">
        <v>27</v>
      </c>
      <c r="B28">
        <v>9</v>
      </c>
      <c r="C28" t="s">
        <v>49</v>
      </c>
      <c r="D28" s="16" t="s">
        <v>846</v>
      </c>
      <c r="E28" s="16"/>
      <c r="F28">
        <v>24.76</v>
      </c>
      <c r="G28">
        <v>90</v>
      </c>
      <c r="H28">
        <v>3.6</v>
      </c>
      <c r="I28">
        <f>2*(7.8+3.6)</f>
        <v>22.8</v>
      </c>
      <c r="L28">
        <f>Constants!$B$2</f>
        <v>2.8</v>
      </c>
      <c r="M28">
        <f t="shared" si="0"/>
        <v>90</v>
      </c>
      <c r="N28">
        <f>P28*Constants!$E$2</f>
        <v>6.12</v>
      </c>
      <c r="P28">
        <f t="shared" si="1"/>
        <v>3.6</v>
      </c>
      <c r="Q28">
        <f>P28*Constants!$B$3</f>
        <v>15.119999999999997</v>
      </c>
      <c r="R28">
        <f t="shared" si="5"/>
        <v>8.9999999999999964</v>
      </c>
      <c r="S28">
        <f t="shared" si="2"/>
        <v>19.2</v>
      </c>
      <c r="T28">
        <f>S28*Constants!$B$2</f>
        <v>53.76</v>
      </c>
      <c r="V28">
        <f t="shared" si="3"/>
        <v>0</v>
      </c>
      <c r="W28">
        <f t="shared" si="4"/>
        <v>0</v>
      </c>
      <c r="AA28" s="8"/>
      <c r="AJ28" s="4"/>
    </row>
    <row r="29" spans="1:36" x14ac:dyDescent="0.25">
      <c r="A29">
        <v>28</v>
      </c>
      <c r="B29">
        <v>9</v>
      </c>
      <c r="C29" t="s">
        <v>57</v>
      </c>
      <c r="D29" s="16" t="s">
        <v>868</v>
      </c>
      <c r="E29" s="16" t="s">
        <v>846</v>
      </c>
      <c r="F29">
        <v>2.2400000000000002</v>
      </c>
      <c r="G29" t="s">
        <v>44</v>
      </c>
      <c r="H29">
        <v>0</v>
      </c>
      <c r="I29">
        <v>8.5500000000000007</v>
      </c>
      <c r="L29">
        <f>Constants!$B$2</f>
        <v>2.8</v>
      </c>
      <c r="M29" t="str">
        <f t="shared" si="0"/>
        <v>N/A</v>
      </c>
      <c r="N29">
        <f>P29*Constants!$E$2</f>
        <v>0</v>
      </c>
      <c r="P29">
        <f t="shared" si="1"/>
        <v>0</v>
      </c>
      <c r="Q29">
        <f>P29*Constants!$B$3</f>
        <v>0</v>
      </c>
      <c r="R29">
        <f t="shared" si="5"/>
        <v>0</v>
      </c>
      <c r="S29">
        <f t="shared" si="2"/>
        <v>8.5500000000000007</v>
      </c>
      <c r="T29">
        <f>S29*Constants!$B$2</f>
        <v>23.94</v>
      </c>
      <c r="V29">
        <f t="shared" si="3"/>
        <v>0</v>
      </c>
      <c r="W29">
        <f t="shared" si="4"/>
        <v>0</v>
      </c>
      <c r="AA29" s="8"/>
      <c r="AJ29" s="4"/>
    </row>
    <row r="30" spans="1:36" x14ac:dyDescent="0.25">
      <c r="A30">
        <v>29</v>
      </c>
      <c r="B30">
        <v>9</v>
      </c>
      <c r="C30" t="s">
        <v>49</v>
      </c>
      <c r="D30" s="16" t="s">
        <v>847</v>
      </c>
      <c r="E30" s="16"/>
      <c r="F30">
        <v>24.76</v>
      </c>
      <c r="G30">
        <v>90</v>
      </c>
      <c r="H30">
        <v>3.6</v>
      </c>
      <c r="I30">
        <f>2*(7.8+3.6)</f>
        <v>22.8</v>
      </c>
      <c r="L30">
        <f>Constants!$B$2</f>
        <v>2.8</v>
      </c>
      <c r="M30">
        <f t="shared" si="0"/>
        <v>90</v>
      </c>
      <c r="N30">
        <f>P30*Constants!$E$2</f>
        <v>6.12</v>
      </c>
      <c r="P30">
        <f t="shared" si="1"/>
        <v>3.6</v>
      </c>
      <c r="Q30">
        <f>P30*Constants!$B$3</f>
        <v>15.119999999999997</v>
      </c>
      <c r="R30">
        <f t="shared" si="5"/>
        <v>8.9999999999999964</v>
      </c>
      <c r="S30">
        <f t="shared" si="2"/>
        <v>19.2</v>
      </c>
      <c r="T30">
        <f>S30*Constants!$B$2</f>
        <v>53.76</v>
      </c>
      <c r="V30">
        <f t="shared" si="3"/>
        <v>0</v>
      </c>
      <c r="W30">
        <f t="shared" si="4"/>
        <v>0</v>
      </c>
      <c r="AA30" s="8"/>
      <c r="AJ30" s="4"/>
    </row>
    <row r="31" spans="1:36" x14ac:dyDescent="0.25">
      <c r="A31">
        <v>30</v>
      </c>
      <c r="B31">
        <v>9</v>
      </c>
      <c r="C31" t="s">
        <v>57</v>
      </c>
      <c r="D31" s="16" t="s">
        <v>869</v>
      </c>
      <c r="E31" s="16" t="s">
        <v>847</v>
      </c>
      <c r="F31">
        <v>2.2400000000000002</v>
      </c>
      <c r="G31" t="s">
        <v>44</v>
      </c>
      <c r="H31">
        <v>0</v>
      </c>
      <c r="I31">
        <v>8.5500000000000007</v>
      </c>
      <c r="L31">
        <f>Constants!$B$2</f>
        <v>2.8</v>
      </c>
      <c r="M31" t="str">
        <f t="shared" si="0"/>
        <v>N/A</v>
      </c>
      <c r="N31">
        <f>P31*Constants!$E$2</f>
        <v>0</v>
      </c>
      <c r="P31">
        <f t="shared" si="1"/>
        <v>0</v>
      </c>
      <c r="Q31">
        <f>P31*Constants!$B$3</f>
        <v>0</v>
      </c>
      <c r="R31">
        <f t="shared" si="5"/>
        <v>0</v>
      </c>
      <c r="S31">
        <f t="shared" si="2"/>
        <v>8.5500000000000007</v>
      </c>
      <c r="T31">
        <f>S31*Constants!$B$2</f>
        <v>23.94</v>
      </c>
      <c r="V31">
        <f t="shared" si="3"/>
        <v>0</v>
      </c>
      <c r="W31">
        <f t="shared" si="4"/>
        <v>0</v>
      </c>
      <c r="AA31" s="8"/>
      <c r="AJ31" s="4"/>
    </row>
    <row r="32" spans="1:36" x14ac:dyDescent="0.25">
      <c r="A32">
        <v>31</v>
      </c>
      <c r="B32">
        <v>9</v>
      </c>
      <c r="C32" t="s">
        <v>49</v>
      </c>
      <c r="D32" s="16" t="s">
        <v>853</v>
      </c>
      <c r="E32" s="16"/>
      <c r="F32">
        <v>12.56</v>
      </c>
      <c r="G32">
        <v>90</v>
      </c>
      <c r="H32">
        <v>3</v>
      </c>
      <c r="I32">
        <f>2*1.2*(2.5+4.5)</f>
        <v>16.8</v>
      </c>
      <c r="L32">
        <f>Constants!$B$2</f>
        <v>2.8</v>
      </c>
      <c r="M32">
        <f t="shared" si="0"/>
        <v>90</v>
      </c>
      <c r="N32">
        <f>P32*Constants!$E$2</f>
        <v>5.0999999999999996</v>
      </c>
      <c r="P32">
        <f t="shared" si="1"/>
        <v>3</v>
      </c>
      <c r="Q32">
        <f>P32*Constants!$B$3</f>
        <v>12.599999999999998</v>
      </c>
      <c r="R32">
        <f t="shared" si="5"/>
        <v>7.4999999999999982</v>
      </c>
      <c r="S32">
        <f t="shared" si="2"/>
        <v>13.8</v>
      </c>
      <c r="T32">
        <f>S32*Constants!$B$2</f>
        <v>38.64</v>
      </c>
      <c r="V32">
        <f t="shared" si="3"/>
        <v>0</v>
      </c>
      <c r="W32">
        <f t="shared" si="4"/>
        <v>0</v>
      </c>
      <c r="AA32" s="8"/>
      <c r="AJ32" s="4"/>
    </row>
    <row r="33" spans="1:36" x14ac:dyDescent="0.25">
      <c r="A33">
        <v>32</v>
      </c>
      <c r="B33">
        <v>9</v>
      </c>
      <c r="C33" t="s">
        <v>49</v>
      </c>
      <c r="D33" s="16" t="s">
        <v>854</v>
      </c>
      <c r="E33" s="16"/>
      <c r="F33">
        <v>25.06</v>
      </c>
      <c r="G33">
        <v>90</v>
      </c>
      <c r="H33">
        <v>3</v>
      </c>
      <c r="I33">
        <f>2*1.2*(6.5+4)</f>
        <v>25.2</v>
      </c>
      <c r="L33">
        <f>Constants!$B$2</f>
        <v>2.8</v>
      </c>
      <c r="M33">
        <f t="shared" si="0"/>
        <v>90</v>
      </c>
      <c r="N33">
        <f>P33*Constants!$E$2</f>
        <v>5.0999999999999996</v>
      </c>
      <c r="P33">
        <f t="shared" si="1"/>
        <v>3</v>
      </c>
      <c r="Q33">
        <f>P33*Constants!$B$3</f>
        <v>12.599999999999998</v>
      </c>
      <c r="R33">
        <f t="shared" si="5"/>
        <v>7.4999999999999982</v>
      </c>
      <c r="S33">
        <f t="shared" si="2"/>
        <v>22.2</v>
      </c>
      <c r="T33">
        <f>S33*Constants!$B$2</f>
        <v>62.16</v>
      </c>
      <c r="V33">
        <f t="shared" si="3"/>
        <v>0</v>
      </c>
      <c r="W33">
        <f t="shared" si="4"/>
        <v>0</v>
      </c>
      <c r="AA33" s="8"/>
      <c r="AJ33" s="4"/>
    </row>
    <row r="34" spans="1:36" x14ac:dyDescent="0.25">
      <c r="A34">
        <v>33</v>
      </c>
      <c r="B34">
        <v>9</v>
      </c>
      <c r="C34" t="s">
        <v>57</v>
      </c>
      <c r="D34" s="16" t="s">
        <v>855</v>
      </c>
      <c r="E34" s="16" t="s">
        <v>854</v>
      </c>
      <c r="F34">
        <v>2.2400000000000002</v>
      </c>
      <c r="G34" t="s">
        <v>44</v>
      </c>
      <c r="H34">
        <v>0</v>
      </c>
      <c r="I34">
        <v>8.5500000000000007</v>
      </c>
      <c r="L34">
        <f>Constants!$B$2</f>
        <v>2.8</v>
      </c>
      <c r="M34" t="str">
        <f t="shared" si="0"/>
        <v>N/A</v>
      </c>
      <c r="N34">
        <f>P34*Constants!$E$2</f>
        <v>0</v>
      </c>
      <c r="P34">
        <f t="shared" si="1"/>
        <v>0</v>
      </c>
      <c r="Q34">
        <f>P34*Constants!$B$3</f>
        <v>0</v>
      </c>
      <c r="R34">
        <f t="shared" si="5"/>
        <v>0</v>
      </c>
      <c r="S34">
        <f t="shared" si="2"/>
        <v>8.5500000000000007</v>
      </c>
      <c r="T34">
        <f>S34*Constants!$B$2</f>
        <v>23.94</v>
      </c>
      <c r="V34">
        <f t="shared" si="3"/>
        <v>0</v>
      </c>
      <c r="W34">
        <f t="shared" si="4"/>
        <v>0</v>
      </c>
      <c r="AA34" s="8"/>
      <c r="AJ34" s="4"/>
    </row>
    <row r="35" spans="1:36" x14ac:dyDescent="0.25">
      <c r="A35">
        <v>34</v>
      </c>
      <c r="B35">
        <v>9</v>
      </c>
      <c r="C35" t="s">
        <v>45</v>
      </c>
      <c r="D35" s="16" t="s">
        <v>870</v>
      </c>
      <c r="E35" s="16"/>
      <c r="F35">
        <v>7.76</v>
      </c>
      <c r="G35" t="s">
        <v>44</v>
      </c>
      <c r="H35">
        <v>0</v>
      </c>
      <c r="I35">
        <f>2*1.2*(2+3)</f>
        <v>12</v>
      </c>
      <c r="L35">
        <f>Constants!$B$2</f>
        <v>2.8</v>
      </c>
      <c r="M35" t="str">
        <f t="shared" si="0"/>
        <v>N/A</v>
      </c>
      <c r="N35">
        <f>P35*Constants!$E$2</f>
        <v>0</v>
      </c>
      <c r="P35">
        <f t="shared" si="1"/>
        <v>0</v>
      </c>
      <c r="Q35">
        <f>P35*Constants!$B$3</f>
        <v>0</v>
      </c>
      <c r="R35">
        <f t="shared" si="5"/>
        <v>0</v>
      </c>
      <c r="S35">
        <f t="shared" si="2"/>
        <v>12</v>
      </c>
      <c r="T35">
        <f>S35*Constants!$B$2</f>
        <v>33.599999999999994</v>
      </c>
      <c r="V35">
        <f t="shared" si="3"/>
        <v>0</v>
      </c>
      <c r="W35">
        <f t="shared" si="4"/>
        <v>0</v>
      </c>
      <c r="AA35" s="8"/>
      <c r="AJ35" s="4"/>
    </row>
    <row r="36" spans="1:36" x14ac:dyDescent="0.25">
      <c r="A36">
        <v>35</v>
      </c>
      <c r="B36">
        <v>9</v>
      </c>
      <c r="C36" t="s">
        <v>49</v>
      </c>
      <c r="D36" s="16" t="s">
        <v>856</v>
      </c>
      <c r="E36" s="16"/>
      <c r="F36">
        <v>12.56</v>
      </c>
      <c r="G36">
        <v>90</v>
      </c>
      <c r="H36">
        <v>3</v>
      </c>
      <c r="I36">
        <f>2*1.2*(2.5+4.5)</f>
        <v>16.8</v>
      </c>
      <c r="L36">
        <f>Constants!$B$2</f>
        <v>2.8</v>
      </c>
      <c r="M36">
        <f t="shared" si="0"/>
        <v>90</v>
      </c>
      <c r="N36">
        <f>P36*Constants!$E$2</f>
        <v>5.0999999999999996</v>
      </c>
      <c r="P36">
        <f t="shared" si="1"/>
        <v>3</v>
      </c>
      <c r="Q36">
        <f>P36*Constants!$B$3</f>
        <v>12.599999999999998</v>
      </c>
      <c r="R36">
        <f t="shared" si="5"/>
        <v>7.4999999999999982</v>
      </c>
      <c r="S36">
        <f t="shared" si="2"/>
        <v>13.8</v>
      </c>
      <c r="T36">
        <f>S36*Constants!$B$2</f>
        <v>38.64</v>
      </c>
      <c r="V36">
        <f t="shared" si="3"/>
        <v>0</v>
      </c>
      <c r="W36">
        <f t="shared" si="4"/>
        <v>0</v>
      </c>
      <c r="AA36" s="8"/>
      <c r="AJ36" s="4"/>
    </row>
    <row r="37" spans="1:36" x14ac:dyDescent="0.25">
      <c r="A37">
        <v>36</v>
      </c>
      <c r="B37">
        <v>9</v>
      </c>
      <c r="C37" t="s">
        <v>57</v>
      </c>
      <c r="D37" s="16" t="s">
        <v>857</v>
      </c>
      <c r="E37" s="16" t="s">
        <v>856</v>
      </c>
      <c r="F37">
        <v>3.71</v>
      </c>
      <c r="G37" t="s">
        <v>44</v>
      </c>
      <c r="H37">
        <v>0</v>
      </c>
      <c r="I37">
        <v>7.44</v>
      </c>
      <c r="L37">
        <f>Constants!$B$2</f>
        <v>2.8</v>
      </c>
      <c r="M37" t="str">
        <f t="shared" si="0"/>
        <v>N/A</v>
      </c>
      <c r="N37">
        <f>P37*Constants!$E$2</f>
        <v>0</v>
      </c>
      <c r="P37">
        <f t="shared" si="1"/>
        <v>0</v>
      </c>
      <c r="Q37">
        <f>P37*Constants!$B$3</f>
        <v>0</v>
      </c>
      <c r="R37">
        <f t="shared" si="5"/>
        <v>0</v>
      </c>
      <c r="S37">
        <f t="shared" si="2"/>
        <v>7.44</v>
      </c>
      <c r="T37">
        <f>S37*Constants!$B$2</f>
        <v>20.832000000000001</v>
      </c>
      <c r="V37">
        <f t="shared" si="3"/>
        <v>0</v>
      </c>
      <c r="W37">
        <f t="shared" si="4"/>
        <v>0</v>
      </c>
      <c r="AA37" s="8"/>
      <c r="AJ37" s="4"/>
    </row>
    <row r="38" spans="1:36" x14ac:dyDescent="0.25">
      <c r="A38">
        <v>37</v>
      </c>
      <c r="B38">
        <v>9</v>
      </c>
      <c r="C38" t="s">
        <v>49</v>
      </c>
      <c r="D38" s="16" t="s">
        <v>858</v>
      </c>
      <c r="E38" s="16"/>
      <c r="F38">
        <v>26.16</v>
      </c>
      <c r="G38">
        <v>90</v>
      </c>
      <c r="H38">
        <v>3</v>
      </c>
      <c r="I38">
        <f>2*1.2*(6.5+4)</f>
        <v>25.2</v>
      </c>
      <c r="L38">
        <f>Constants!$B$2</f>
        <v>2.8</v>
      </c>
      <c r="M38">
        <f t="shared" si="0"/>
        <v>90</v>
      </c>
      <c r="N38">
        <f>P38*Constants!$E$2</f>
        <v>5.0999999999999996</v>
      </c>
      <c r="P38">
        <f t="shared" si="1"/>
        <v>3</v>
      </c>
      <c r="Q38">
        <f>P38*Constants!$B$3</f>
        <v>12.599999999999998</v>
      </c>
      <c r="R38">
        <f t="shared" si="5"/>
        <v>7.4999999999999982</v>
      </c>
      <c r="S38">
        <f t="shared" si="2"/>
        <v>22.2</v>
      </c>
      <c r="T38">
        <f>S38*Constants!$B$2</f>
        <v>62.16</v>
      </c>
      <c r="V38">
        <f t="shared" si="3"/>
        <v>0</v>
      </c>
      <c r="W38">
        <f t="shared" si="4"/>
        <v>0</v>
      </c>
      <c r="AA38" s="8"/>
      <c r="AJ38" s="4"/>
    </row>
    <row r="39" spans="1:36" x14ac:dyDescent="0.25">
      <c r="A39">
        <v>38</v>
      </c>
      <c r="B39">
        <v>9</v>
      </c>
      <c r="C39" t="s">
        <v>57</v>
      </c>
      <c r="D39" s="16" t="s">
        <v>859</v>
      </c>
      <c r="E39" s="16" t="s">
        <v>858</v>
      </c>
      <c r="F39">
        <v>2.2400000000000002</v>
      </c>
      <c r="G39" t="s">
        <v>44</v>
      </c>
      <c r="H39">
        <v>0</v>
      </c>
      <c r="I39">
        <v>8.5500000000000007</v>
      </c>
      <c r="L39">
        <f>Constants!$B$2</f>
        <v>2.8</v>
      </c>
      <c r="M39" t="str">
        <f t="shared" si="0"/>
        <v>N/A</v>
      </c>
      <c r="N39">
        <f>P39*Constants!$E$2</f>
        <v>0</v>
      </c>
      <c r="P39">
        <f t="shared" si="1"/>
        <v>0</v>
      </c>
      <c r="Q39">
        <f>P39*Constants!$B$3</f>
        <v>0</v>
      </c>
      <c r="R39">
        <f t="shared" si="5"/>
        <v>0</v>
      </c>
      <c r="S39">
        <f t="shared" si="2"/>
        <v>8.5500000000000007</v>
      </c>
      <c r="T39">
        <f>S39*Constants!$B$2</f>
        <v>23.94</v>
      </c>
      <c r="V39">
        <f t="shared" si="3"/>
        <v>0</v>
      </c>
      <c r="W39">
        <f t="shared" si="4"/>
        <v>0</v>
      </c>
      <c r="AA39" s="8"/>
      <c r="AJ39" s="4"/>
    </row>
    <row r="40" spans="1:36" x14ac:dyDescent="0.25">
      <c r="A40">
        <v>39</v>
      </c>
      <c r="B40">
        <v>9</v>
      </c>
      <c r="C40" t="s">
        <v>49</v>
      </c>
      <c r="D40" s="16" t="s">
        <v>860</v>
      </c>
      <c r="F40">
        <v>24.58</v>
      </c>
      <c r="G40">
        <v>90</v>
      </c>
      <c r="H40">
        <v>3.6</v>
      </c>
      <c r="I40">
        <f>2*1.2*(6.5+3)</f>
        <v>22.8</v>
      </c>
      <c r="L40">
        <f>Constants!$B$2</f>
        <v>2.8</v>
      </c>
      <c r="M40">
        <f t="shared" si="0"/>
        <v>90</v>
      </c>
      <c r="N40">
        <f>P40*Constants!$E$2</f>
        <v>6.12</v>
      </c>
      <c r="P40">
        <f t="shared" si="1"/>
        <v>3.6</v>
      </c>
      <c r="Q40">
        <f>P40*Constants!$B$3</f>
        <v>15.119999999999997</v>
      </c>
      <c r="R40">
        <f t="shared" si="5"/>
        <v>8.9999999999999964</v>
      </c>
      <c r="S40">
        <f t="shared" si="2"/>
        <v>19.2</v>
      </c>
      <c r="T40">
        <f>S40*Constants!$B$2</f>
        <v>53.76</v>
      </c>
      <c r="V40">
        <f t="shared" si="3"/>
        <v>0</v>
      </c>
      <c r="W40">
        <f t="shared" si="4"/>
        <v>0</v>
      </c>
      <c r="AA40" s="8"/>
      <c r="AJ40" s="4"/>
    </row>
    <row r="41" spans="1:36" x14ac:dyDescent="0.25">
      <c r="A41">
        <v>40</v>
      </c>
      <c r="B41">
        <v>9</v>
      </c>
      <c r="C41" t="s">
        <v>57</v>
      </c>
      <c r="D41" s="16" t="s">
        <v>861</v>
      </c>
      <c r="E41" s="16" t="s">
        <v>860</v>
      </c>
      <c r="F41">
        <v>3.71</v>
      </c>
      <c r="G41" t="s">
        <v>44</v>
      </c>
      <c r="H41">
        <v>0</v>
      </c>
      <c r="I41">
        <v>8.5500000000000007</v>
      </c>
      <c r="L41">
        <f>Constants!$B$2</f>
        <v>2.8</v>
      </c>
      <c r="M41" t="str">
        <f t="shared" si="0"/>
        <v>N/A</v>
      </c>
      <c r="N41">
        <f>P41*Constants!$E$2</f>
        <v>0</v>
      </c>
      <c r="P41">
        <f t="shared" si="1"/>
        <v>0</v>
      </c>
      <c r="Q41">
        <f>P41*Constants!$B$3</f>
        <v>0</v>
      </c>
      <c r="R41">
        <f t="shared" si="5"/>
        <v>0</v>
      </c>
      <c r="S41">
        <f t="shared" si="2"/>
        <v>8.5500000000000007</v>
      </c>
      <c r="T41">
        <f>S41*Constants!$B$2</f>
        <v>23.94</v>
      </c>
      <c r="V41">
        <f t="shared" si="3"/>
        <v>0</v>
      </c>
      <c r="W41">
        <f t="shared" si="4"/>
        <v>0</v>
      </c>
      <c r="AA41" s="8"/>
      <c r="AJ41" s="4"/>
    </row>
    <row r="42" spans="1:36" x14ac:dyDescent="0.25">
      <c r="A42">
        <v>41</v>
      </c>
      <c r="B42">
        <v>9</v>
      </c>
      <c r="C42" t="s">
        <v>49</v>
      </c>
      <c r="D42" s="16" t="s">
        <v>862</v>
      </c>
      <c r="F42">
        <v>24.53</v>
      </c>
      <c r="G42">
        <v>90</v>
      </c>
      <c r="H42">
        <v>3.6</v>
      </c>
      <c r="I42">
        <f>2*(7.8+3.6)</f>
        <v>22.8</v>
      </c>
      <c r="L42">
        <f>Constants!$B$2</f>
        <v>2.8</v>
      </c>
      <c r="M42">
        <f t="shared" si="0"/>
        <v>90</v>
      </c>
      <c r="N42">
        <f>P42*Constants!$E$2</f>
        <v>6.12</v>
      </c>
      <c r="P42">
        <f t="shared" si="1"/>
        <v>3.6</v>
      </c>
      <c r="Q42">
        <f>P42*Constants!$B$3</f>
        <v>15.119999999999997</v>
      </c>
      <c r="R42">
        <f t="shared" si="5"/>
        <v>8.9999999999999964</v>
      </c>
      <c r="S42">
        <f t="shared" si="2"/>
        <v>19.2</v>
      </c>
      <c r="T42">
        <f>S42*Constants!$B$2</f>
        <v>53.76</v>
      </c>
      <c r="V42">
        <f t="shared" si="3"/>
        <v>0</v>
      </c>
      <c r="W42">
        <f t="shared" si="4"/>
        <v>0</v>
      </c>
      <c r="AA42" s="8"/>
      <c r="AJ42" s="4"/>
    </row>
    <row r="43" spans="1:36" x14ac:dyDescent="0.25">
      <c r="A43">
        <v>42</v>
      </c>
      <c r="B43">
        <v>9</v>
      </c>
      <c r="C43" t="s">
        <v>57</v>
      </c>
      <c r="D43" s="16" t="s">
        <v>863</v>
      </c>
      <c r="E43" s="16" t="s">
        <v>862</v>
      </c>
      <c r="F43">
        <v>3.71</v>
      </c>
      <c r="G43" t="s">
        <v>44</v>
      </c>
      <c r="H43">
        <v>0</v>
      </c>
      <c r="I43">
        <v>8.5500000000000007</v>
      </c>
      <c r="L43">
        <f>Constants!$B$2</f>
        <v>2.8</v>
      </c>
      <c r="M43" t="str">
        <f t="shared" si="0"/>
        <v>N/A</v>
      </c>
      <c r="N43">
        <f>P43*Constants!$E$2</f>
        <v>0</v>
      </c>
      <c r="P43">
        <f t="shared" si="1"/>
        <v>0</v>
      </c>
      <c r="Q43">
        <f>P43*Constants!$B$3</f>
        <v>0</v>
      </c>
      <c r="R43">
        <f t="shared" si="5"/>
        <v>0</v>
      </c>
      <c r="S43">
        <f t="shared" si="2"/>
        <v>8.5500000000000007</v>
      </c>
      <c r="T43">
        <f>S43*Constants!$B$2</f>
        <v>23.94</v>
      </c>
      <c r="V43">
        <f t="shared" si="3"/>
        <v>0</v>
      </c>
      <c r="W43">
        <f t="shared" si="4"/>
        <v>0</v>
      </c>
      <c r="AA43" s="8"/>
      <c r="AJ43" s="4"/>
    </row>
    <row r="44" spans="1:36" x14ac:dyDescent="0.25">
      <c r="A44">
        <v>43</v>
      </c>
      <c r="B44">
        <v>9</v>
      </c>
      <c r="C44" t="s">
        <v>54</v>
      </c>
      <c r="D44" s="16" t="s">
        <v>864</v>
      </c>
      <c r="F44">
        <v>24.76</v>
      </c>
      <c r="G44">
        <v>90</v>
      </c>
      <c r="H44">
        <v>3.6</v>
      </c>
      <c r="I44">
        <f>2*(7.8+3.6)</f>
        <v>22.8</v>
      </c>
      <c r="L44">
        <f>Constants!$B$2</f>
        <v>2.8</v>
      </c>
      <c r="M44">
        <f t="shared" si="0"/>
        <v>90</v>
      </c>
      <c r="N44">
        <f>P44*Constants!$E$2</f>
        <v>6.12</v>
      </c>
      <c r="P44">
        <f t="shared" si="1"/>
        <v>3.6</v>
      </c>
      <c r="Q44">
        <f>P44*Constants!$B$3</f>
        <v>15.119999999999997</v>
      </c>
      <c r="R44">
        <f t="shared" si="5"/>
        <v>8.9999999999999964</v>
      </c>
      <c r="S44">
        <f t="shared" si="2"/>
        <v>19.2</v>
      </c>
      <c r="T44">
        <f>S44*Constants!$B$2</f>
        <v>53.76</v>
      </c>
      <c r="V44">
        <f t="shared" si="3"/>
        <v>0</v>
      </c>
      <c r="W44">
        <f t="shared" si="4"/>
        <v>0</v>
      </c>
      <c r="AA44" s="8"/>
      <c r="AJ44" s="4"/>
    </row>
    <row r="45" spans="1:36" x14ac:dyDescent="0.25">
      <c r="A45">
        <v>44</v>
      </c>
      <c r="B45">
        <v>9</v>
      </c>
      <c r="C45" t="s">
        <v>57</v>
      </c>
      <c r="D45" s="16" t="s">
        <v>865</v>
      </c>
      <c r="E45" s="16" t="s">
        <v>864</v>
      </c>
      <c r="F45">
        <v>3.71</v>
      </c>
      <c r="G45" t="s">
        <v>44</v>
      </c>
      <c r="H45">
        <v>0</v>
      </c>
      <c r="I45">
        <v>8.5500000000000007</v>
      </c>
      <c r="L45">
        <f>Constants!$B$2</f>
        <v>2.8</v>
      </c>
      <c r="M45" t="str">
        <f t="shared" si="0"/>
        <v>N/A</v>
      </c>
      <c r="N45">
        <f>P45*Constants!$E$2</f>
        <v>0</v>
      </c>
      <c r="P45">
        <f t="shared" si="1"/>
        <v>0</v>
      </c>
      <c r="Q45">
        <f>P45*Constants!$B$3</f>
        <v>0</v>
      </c>
      <c r="R45">
        <f t="shared" si="5"/>
        <v>0</v>
      </c>
      <c r="S45">
        <f t="shared" si="2"/>
        <v>8.5500000000000007</v>
      </c>
      <c r="T45">
        <f>S45*Constants!$B$2</f>
        <v>23.94</v>
      </c>
      <c r="V45">
        <f t="shared" si="3"/>
        <v>0</v>
      </c>
      <c r="W45">
        <f t="shared" si="4"/>
        <v>0</v>
      </c>
      <c r="AA45" s="8"/>
      <c r="AJ45" s="4"/>
    </row>
    <row r="46" spans="1:36" x14ac:dyDescent="0.25">
      <c r="A46">
        <v>45</v>
      </c>
      <c r="B46">
        <v>9</v>
      </c>
      <c r="C46" t="s">
        <v>59</v>
      </c>
      <c r="D46" s="16" t="s">
        <v>866</v>
      </c>
      <c r="F46">
        <v>13.25</v>
      </c>
      <c r="G46" t="s">
        <v>44</v>
      </c>
      <c r="H46">
        <v>0</v>
      </c>
      <c r="I46">
        <f>2*1.2*(4+2.5)</f>
        <v>15.6</v>
      </c>
      <c r="L46">
        <f>Constants!$B$2</f>
        <v>2.8</v>
      </c>
      <c r="M46" t="str">
        <f t="shared" si="0"/>
        <v>N/A</v>
      </c>
      <c r="N46">
        <f>P46*Constants!$E$2</f>
        <v>0</v>
      </c>
      <c r="P46">
        <f t="shared" si="1"/>
        <v>0</v>
      </c>
      <c r="Q46">
        <f>P46*Constants!$B$3</f>
        <v>0</v>
      </c>
      <c r="R46">
        <f t="shared" si="5"/>
        <v>0</v>
      </c>
      <c r="S46">
        <f t="shared" si="2"/>
        <v>15.6</v>
      </c>
      <c r="T46">
        <f>S46*Constants!$B$2</f>
        <v>43.68</v>
      </c>
      <c r="V46">
        <f t="shared" si="3"/>
        <v>0</v>
      </c>
      <c r="W46">
        <f t="shared" si="4"/>
        <v>0</v>
      </c>
      <c r="AA46" s="8"/>
      <c r="AJ46" s="4"/>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4"/>
    </row>
    <row r="449" spans="4:4" x14ac:dyDescent="0.25">
      <c r="D449" s="14"/>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row r="456" spans="4:4" x14ac:dyDescent="0.25">
      <c r="D456" s="13"/>
    </row>
    <row r="457" spans="4:4" x14ac:dyDescent="0.25">
      <c r="D457" s="13"/>
    </row>
  </sheetData>
  <pageMargins left="0.7" right="0.7" top="0.78740157499999996" bottom="0.78740157499999996"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57"/>
  <sheetViews>
    <sheetView zoomScaleNormal="100" workbookViewId="0">
      <pane xSplit="4" ySplit="1" topLeftCell="E20" activePane="bottomRight" state="frozen"/>
      <selection pane="topRight" activeCell="F1" sqref="F1"/>
      <selection pane="bottomLeft" activeCell="A2" sqref="A2"/>
      <selection pane="bottomRight" activeCell="C34" sqref="C34"/>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0.1406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59</v>
      </c>
      <c r="D2" s="16" t="s">
        <v>871</v>
      </c>
      <c r="F2">
        <v>27.31</v>
      </c>
      <c r="G2" t="s">
        <v>44</v>
      </c>
      <c r="H2">
        <v>0</v>
      </c>
      <c r="I2">
        <f>2*1.2*(5+4)</f>
        <v>21.599999999999998</v>
      </c>
      <c r="L2">
        <f>Constants!$B$2</f>
        <v>2.8</v>
      </c>
      <c r="M2" t="str">
        <f t="shared" ref="M2:M46" si="0">IF(N2&gt;0,G2,"N/A")</f>
        <v>N/A</v>
      </c>
      <c r="N2">
        <f>P2*Constants!$E$2</f>
        <v>0</v>
      </c>
      <c r="P2">
        <f>H2</f>
        <v>0</v>
      </c>
      <c r="Q2">
        <f>P2*Constants!$B$3</f>
        <v>0</v>
      </c>
      <c r="R2">
        <f>IF(Q2-N2&lt;=0, 0, Q2-N2)</f>
        <v>0</v>
      </c>
      <c r="S2">
        <f>I2-P2</f>
        <v>21.599999999999998</v>
      </c>
      <c r="T2">
        <f>S2*Constants!$B$2</f>
        <v>60.47999999999999</v>
      </c>
      <c r="V2">
        <f>IF(B2="E",1,0)</f>
        <v>0</v>
      </c>
      <c r="W2">
        <f>IF(B2=10,1,0)</f>
        <v>0</v>
      </c>
      <c r="AA2" s="8"/>
      <c r="AJ2" s="4"/>
    </row>
    <row r="3" spans="1:40" x14ac:dyDescent="0.25">
      <c r="A3">
        <v>2</v>
      </c>
      <c r="B3">
        <v>9</v>
      </c>
      <c r="C3" t="s">
        <v>54</v>
      </c>
      <c r="D3" s="16" t="s">
        <v>872</v>
      </c>
      <c r="F3">
        <v>24.76</v>
      </c>
      <c r="G3" t="s">
        <v>44</v>
      </c>
      <c r="H3">
        <v>0</v>
      </c>
      <c r="I3">
        <f>2*(7.8+3.6)</f>
        <v>22.8</v>
      </c>
      <c r="L3">
        <f>Constants!$B$2</f>
        <v>2.8</v>
      </c>
      <c r="M3" t="str">
        <f t="shared" si="0"/>
        <v>N/A</v>
      </c>
      <c r="N3">
        <f>P3*Constants!$E$2</f>
        <v>0</v>
      </c>
      <c r="P3">
        <f t="shared" ref="P3:P46" si="1">H3</f>
        <v>0</v>
      </c>
      <c r="Q3">
        <f>P3*Constants!$B$3</f>
        <v>0</v>
      </c>
      <c r="R3">
        <f>IF(Q3-N3&lt;=0, 0, Q3-N3)</f>
        <v>0</v>
      </c>
      <c r="S3">
        <f t="shared" ref="S3:S46" si="2">I3-P3</f>
        <v>22.8</v>
      </c>
      <c r="T3">
        <f>S3*Constants!$B$2</f>
        <v>63.839999999999996</v>
      </c>
      <c r="V3">
        <f t="shared" ref="V3:V46" si="3">IF(B3="E",1,0)</f>
        <v>0</v>
      </c>
      <c r="W3">
        <f t="shared" ref="W3:W46" si="4">IF(B3=10,1,0)</f>
        <v>0</v>
      </c>
      <c r="AA3" s="8"/>
      <c r="AJ3" s="4"/>
    </row>
    <row r="4" spans="1:40" x14ac:dyDescent="0.25">
      <c r="A4">
        <v>3</v>
      </c>
      <c r="B4">
        <v>9</v>
      </c>
      <c r="C4" t="s">
        <v>57</v>
      </c>
      <c r="D4" s="16" t="s">
        <v>873</v>
      </c>
      <c r="E4" s="16" t="s">
        <v>872</v>
      </c>
      <c r="F4">
        <f>1.2*2.1*1.2</f>
        <v>3.024</v>
      </c>
      <c r="G4" t="s">
        <v>44</v>
      </c>
      <c r="H4">
        <v>0</v>
      </c>
      <c r="I4">
        <v>7.44</v>
      </c>
      <c r="L4">
        <f>Constants!$B$2</f>
        <v>2.8</v>
      </c>
      <c r="M4" t="str">
        <f t="shared" si="0"/>
        <v>N/A</v>
      </c>
      <c r="N4">
        <f>P4*Constants!$E$2</f>
        <v>0</v>
      </c>
      <c r="P4">
        <f>H4</f>
        <v>0</v>
      </c>
      <c r="Q4">
        <f>P4*Constants!$B$3</f>
        <v>0</v>
      </c>
      <c r="R4">
        <f t="shared" ref="R4:R46" si="5">IF(Q4-N4&lt;=0, 0, Q4-N4)</f>
        <v>0</v>
      </c>
      <c r="S4">
        <f>I4-P4</f>
        <v>7.44</v>
      </c>
      <c r="T4">
        <f>S4*Constants!$B$2</f>
        <v>20.832000000000001</v>
      </c>
      <c r="V4">
        <f>IF(B4="E",1,0)</f>
        <v>0</v>
      </c>
      <c r="W4">
        <f>IF(B4=10,1,0)</f>
        <v>0</v>
      </c>
      <c r="AA4" s="8"/>
      <c r="AJ4" s="4"/>
    </row>
    <row r="5" spans="1:40" x14ac:dyDescent="0.25">
      <c r="A5">
        <v>4</v>
      </c>
      <c r="B5">
        <v>9</v>
      </c>
      <c r="C5" t="s">
        <v>49</v>
      </c>
      <c r="D5" s="16" t="s">
        <v>874</v>
      </c>
      <c r="F5">
        <v>24.58</v>
      </c>
      <c r="G5">
        <v>270</v>
      </c>
      <c r="H5">
        <v>3.6</v>
      </c>
      <c r="I5">
        <f>2*(7.8+3.6)</f>
        <v>22.8</v>
      </c>
      <c r="L5">
        <f>Constants!$B$2</f>
        <v>2.8</v>
      </c>
      <c r="M5">
        <f t="shared" si="0"/>
        <v>270</v>
      </c>
      <c r="N5">
        <f>P5*Constants!$E$2</f>
        <v>6.12</v>
      </c>
      <c r="P5">
        <f t="shared" si="1"/>
        <v>3.6</v>
      </c>
      <c r="Q5">
        <f>P5*Constants!$B$3</f>
        <v>15.119999999999997</v>
      </c>
      <c r="R5">
        <f t="shared" si="5"/>
        <v>8.9999999999999964</v>
      </c>
      <c r="S5">
        <f t="shared" si="2"/>
        <v>19.2</v>
      </c>
      <c r="T5">
        <f>S5*Constants!$B$2</f>
        <v>53.76</v>
      </c>
      <c r="V5">
        <f t="shared" si="3"/>
        <v>0</v>
      </c>
      <c r="W5">
        <f t="shared" si="4"/>
        <v>0</v>
      </c>
      <c r="AA5" s="8"/>
      <c r="AJ5" s="4"/>
    </row>
    <row r="6" spans="1:40" x14ac:dyDescent="0.25">
      <c r="A6">
        <v>5</v>
      </c>
      <c r="B6">
        <v>9</v>
      </c>
      <c r="C6" t="s">
        <v>57</v>
      </c>
      <c r="D6" s="16" t="s">
        <v>875</v>
      </c>
      <c r="E6" s="16" t="s">
        <v>874</v>
      </c>
      <c r="F6">
        <v>3.71</v>
      </c>
      <c r="G6" t="s">
        <v>44</v>
      </c>
      <c r="H6">
        <v>0</v>
      </c>
      <c r="I6">
        <v>7.44</v>
      </c>
      <c r="L6">
        <f>Constants!$B$2</f>
        <v>2.8</v>
      </c>
      <c r="M6" t="str">
        <f t="shared" si="0"/>
        <v>N/A</v>
      </c>
      <c r="N6">
        <f>P6*Constants!$E$2</f>
        <v>0</v>
      </c>
      <c r="P6">
        <f>H6</f>
        <v>0</v>
      </c>
      <c r="Q6">
        <f>P6*Constants!$B$3</f>
        <v>0</v>
      </c>
      <c r="R6">
        <f t="shared" si="5"/>
        <v>0</v>
      </c>
      <c r="S6">
        <f>I6-P6</f>
        <v>7.44</v>
      </c>
      <c r="T6">
        <f>S6*Constants!$B$2</f>
        <v>20.832000000000001</v>
      </c>
      <c r="V6">
        <f>IF(B6="E",1,0)</f>
        <v>0</v>
      </c>
      <c r="W6">
        <f>IF(B6=10,1,0)</f>
        <v>0</v>
      </c>
      <c r="AA6" s="8"/>
      <c r="AJ6" s="4"/>
    </row>
    <row r="7" spans="1:40" x14ac:dyDescent="0.25">
      <c r="A7">
        <v>6</v>
      </c>
      <c r="B7">
        <v>9</v>
      </c>
      <c r="C7" t="s">
        <v>49</v>
      </c>
      <c r="D7" s="16" t="s">
        <v>876</v>
      </c>
      <c r="F7">
        <v>24.58</v>
      </c>
      <c r="G7">
        <v>270</v>
      </c>
      <c r="H7">
        <v>3.6</v>
      </c>
      <c r="I7">
        <f>2*(7.8+3.6)</f>
        <v>22.8</v>
      </c>
      <c r="L7">
        <f>Constants!$B$2</f>
        <v>2.8</v>
      </c>
      <c r="M7">
        <f t="shared" si="0"/>
        <v>270</v>
      </c>
      <c r="N7">
        <f>P7*Constants!$E$2</f>
        <v>6.12</v>
      </c>
      <c r="P7">
        <f t="shared" ref="P7:P8" si="6">H7</f>
        <v>3.6</v>
      </c>
      <c r="Q7">
        <f>P7*Constants!$B$3</f>
        <v>15.119999999999997</v>
      </c>
      <c r="R7">
        <f t="shared" si="5"/>
        <v>8.9999999999999964</v>
      </c>
      <c r="S7">
        <f t="shared" ref="S7:S8" si="7">I7-P7</f>
        <v>19.2</v>
      </c>
      <c r="T7">
        <f>S7*Constants!$B$2</f>
        <v>53.76</v>
      </c>
      <c r="V7">
        <f t="shared" ref="V7:V8" si="8">IF(B7="E",1,0)</f>
        <v>0</v>
      </c>
      <c r="W7">
        <f t="shared" ref="W7:W8" si="9">IF(B7=10,1,0)</f>
        <v>0</v>
      </c>
      <c r="AA7" s="8"/>
      <c r="AJ7" s="4"/>
    </row>
    <row r="8" spans="1:40" x14ac:dyDescent="0.25">
      <c r="A8">
        <v>7</v>
      </c>
      <c r="B8">
        <v>9</v>
      </c>
      <c r="C8" t="s">
        <v>57</v>
      </c>
      <c r="D8" s="16" t="s">
        <v>877</v>
      </c>
      <c r="E8" s="16" t="s">
        <v>876</v>
      </c>
      <c r="F8">
        <v>3.71</v>
      </c>
      <c r="G8" t="s">
        <v>44</v>
      </c>
      <c r="H8">
        <v>0</v>
      </c>
      <c r="I8">
        <v>7.44</v>
      </c>
      <c r="L8">
        <f>Constants!$B$2</f>
        <v>2.8</v>
      </c>
      <c r="M8" t="str">
        <f t="shared" si="0"/>
        <v>N/A</v>
      </c>
      <c r="N8">
        <f>P8*Constants!$E$2</f>
        <v>0</v>
      </c>
      <c r="P8">
        <f t="shared" si="6"/>
        <v>0</v>
      </c>
      <c r="Q8">
        <f>P8*Constants!$B$3</f>
        <v>0</v>
      </c>
      <c r="R8">
        <f t="shared" si="5"/>
        <v>0</v>
      </c>
      <c r="S8">
        <f t="shared" si="7"/>
        <v>7.44</v>
      </c>
      <c r="T8">
        <f>S8*Constants!$B$2</f>
        <v>20.832000000000001</v>
      </c>
      <c r="V8">
        <f t="shared" si="8"/>
        <v>0</v>
      </c>
      <c r="W8">
        <f t="shared" si="9"/>
        <v>0</v>
      </c>
      <c r="AA8" s="8"/>
      <c r="AJ8" s="4"/>
    </row>
    <row r="9" spans="1:40" x14ac:dyDescent="0.25">
      <c r="A9">
        <v>8</v>
      </c>
      <c r="B9">
        <v>9</v>
      </c>
      <c r="C9" t="s">
        <v>49</v>
      </c>
      <c r="D9" s="16" t="s">
        <v>878</v>
      </c>
      <c r="F9">
        <v>12.56</v>
      </c>
      <c r="G9">
        <v>270</v>
      </c>
      <c r="H9">
        <v>3</v>
      </c>
      <c r="I9">
        <f>2*1.2*(4+2.5)</f>
        <v>15.6</v>
      </c>
      <c r="L9">
        <f>Constants!$B$2</f>
        <v>2.8</v>
      </c>
      <c r="M9">
        <f t="shared" si="0"/>
        <v>270</v>
      </c>
      <c r="N9">
        <f>P9*Constants!$E$2</f>
        <v>5.0999999999999996</v>
      </c>
      <c r="P9">
        <f t="shared" si="1"/>
        <v>3</v>
      </c>
      <c r="Q9">
        <f>P9*Constants!$B$3</f>
        <v>12.599999999999998</v>
      </c>
      <c r="R9">
        <f t="shared" si="5"/>
        <v>7.4999999999999982</v>
      </c>
      <c r="S9">
        <f t="shared" si="2"/>
        <v>12.6</v>
      </c>
      <c r="T9">
        <f>S9*Constants!$B$2</f>
        <v>35.279999999999994</v>
      </c>
      <c r="V9">
        <f t="shared" si="3"/>
        <v>0</v>
      </c>
      <c r="W9">
        <f t="shared" si="4"/>
        <v>0</v>
      </c>
      <c r="AA9" s="8"/>
      <c r="AJ9" s="4"/>
    </row>
    <row r="10" spans="1:40" x14ac:dyDescent="0.25">
      <c r="A10">
        <v>9</v>
      </c>
      <c r="B10">
        <v>9</v>
      </c>
      <c r="C10" t="s">
        <v>49</v>
      </c>
      <c r="D10" s="16" t="s">
        <v>879</v>
      </c>
      <c r="F10">
        <v>25.06</v>
      </c>
      <c r="G10">
        <v>270</v>
      </c>
      <c r="H10">
        <v>3</v>
      </c>
      <c r="I10">
        <f>2*1.2*(6.5+4)</f>
        <v>25.2</v>
      </c>
      <c r="L10">
        <f>Constants!$B$2</f>
        <v>2.8</v>
      </c>
      <c r="M10">
        <f t="shared" si="0"/>
        <v>270</v>
      </c>
      <c r="N10">
        <f>P10*Constants!$E$2</f>
        <v>5.0999999999999996</v>
      </c>
      <c r="P10">
        <f t="shared" si="1"/>
        <v>3</v>
      </c>
      <c r="Q10">
        <f>P10*Constants!$B$3</f>
        <v>12.599999999999998</v>
      </c>
      <c r="R10">
        <f t="shared" si="5"/>
        <v>7.4999999999999982</v>
      </c>
      <c r="S10">
        <f t="shared" si="2"/>
        <v>22.2</v>
      </c>
      <c r="T10">
        <f>S10*Constants!$B$2</f>
        <v>62.16</v>
      </c>
      <c r="V10">
        <f t="shared" si="3"/>
        <v>0</v>
      </c>
      <c r="W10">
        <f t="shared" si="4"/>
        <v>0</v>
      </c>
      <c r="AA10" s="8"/>
      <c r="AJ10" s="4"/>
    </row>
    <row r="11" spans="1:40" x14ac:dyDescent="0.25">
      <c r="A11">
        <v>10</v>
      </c>
      <c r="B11">
        <v>9</v>
      </c>
      <c r="C11" t="s">
        <v>57</v>
      </c>
      <c r="D11" s="16" t="s">
        <v>880</v>
      </c>
      <c r="E11" s="16" t="s">
        <v>879</v>
      </c>
      <c r="F11">
        <v>3.71</v>
      </c>
      <c r="G11" t="s">
        <v>44</v>
      </c>
      <c r="H11">
        <v>0</v>
      </c>
      <c r="I11">
        <v>7.44</v>
      </c>
      <c r="L11">
        <f>Constants!$B$2</f>
        <v>2.8</v>
      </c>
      <c r="M11" t="str">
        <f t="shared" si="0"/>
        <v>N/A</v>
      </c>
      <c r="N11">
        <f>P11*Constants!$E$2</f>
        <v>0</v>
      </c>
      <c r="P11">
        <f t="shared" si="1"/>
        <v>0</v>
      </c>
      <c r="Q11">
        <f>P11*Constants!$B$3</f>
        <v>0</v>
      </c>
      <c r="R11">
        <f t="shared" si="5"/>
        <v>0</v>
      </c>
      <c r="S11">
        <f t="shared" si="2"/>
        <v>7.44</v>
      </c>
      <c r="T11">
        <f>S11*Constants!$B$2</f>
        <v>20.832000000000001</v>
      </c>
      <c r="V11">
        <f t="shared" si="3"/>
        <v>0</v>
      </c>
      <c r="W11">
        <f t="shared" si="4"/>
        <v>0</v>
      </c>
      <c r="AA11" s="8"/>
      <c r="AJ11" s="4"/>
    </row>
    <row r="12" spans="1:40" x14ac:dyDescent="0.25">
      <c r="A12">
        <v>11</v>
      </c>
      <c r="B12">
        <v>9</v>
      </c>
      <c r="C12" t="s">
        <v>45</v>
      </c>
      <c r="D12" s="16" t="s">
        <v>881</v>
      </c>
      <c r="E12" s="16"/>
      <c r="F12">
        <v>7.76</v>
      </c>
      <c r="G12" t="s">
        <v>44</v>
      </c>
      <c r="H12">
        <v>0</v>
      </c>
      <c r="I12">
        <f>2*1.2*(2+3)</f>
        <v>12</v>
      </c>
      <c r="L12">
        <f>Constants!$B$2</f>
        <v>2.8</v>
      </c>
      <c r="M12" t="str">
        <f t="shared" si="0"/>
        <v>N/A</v>
      </c>
      <c r="N12">
        <f>P12*Constants!$E$2</f>
        <v>0</v>
      </c>
      <c r="P12">
        <f t="shared" si="1"/>
        <v>0</v>
      </c>
      <c r="Q12">
        <f>P12*Constants!$B$3</f>
        <v>0</v>
      </c>
      <c r="R12">
        <f t="shared" si="5"/>
        <v>0</v>
      </c>
      <c r="S12">
        <f t="shared" si="2"/>
        <v>12</v>
      </c>
      <c r="T12">
        <f>S12*Constants!$B$2</f>
        <v>33.599999999999994</v>
      </c>
      <c r="V12">
        <f t="shared" si="3"/>
        <v>0</v>
      </c>
      <c r="W12">
        <f t="shared" si="4"/>
        <v>0</v>
      </c>
      <c r="AA12" s="8"/>
      <c r="AJ12" s="4"/>
    </row>
    <row r="13" spans="1:40" x14ac:dyDescent="0.25">
      <c r="A13">
        <v>12</v>
      </c>
      <c r="B13">
        <v>9</v>
      </c>
      <c r="C13" t="s">
        <v>49</v>
      </c>
      <c r="D13" s="16" t="s">
        <v>882</v>
      </c>
      <c r="F13">
        <v>11.46</v>
      </c>
      <c r="G13">
        <v>270</v>
      </c>
      <c r="H13">
        <v>3</v>
      </c>
      <c r="I13">
        <f>2*1.2*(2.5+3.5)</f>
        <v>14.399999999999999</v>
      </c>
      <c r="L13">
        <f>Constants!$B$2</f>
        <v>2.8</v>
      </c>
      <c r="M13">
        <f t="shared" si="0"/>
        <v>270</v>
      </c>
      <c r="N13">
        <f>P13*Constants!$E$2</f>
        <v>5.0999999999999996</v>
      </c>
      <c r="P13">
        <f t="shared" si="1"/>
        <v>3</v>
      </c>
      <c r="Q13">
        <f>P13*Constants!$B$3</f>
        <v>12.599999999999998</v>
      </c>
      <c r="R13">
        <f t="shared" si="5"/>
        <v>7.4999999999999982</v>
      </c>
      <c r="S13">
        <f t="shared" si="2"/>
        <v>11.399999999999999</v>
      </c>
      <c r="T13">
        <f>S13*Constants!$B$2</f>
        <v>31.919999999999995</v>
      </c>
      <c r="V13">
        <f t="shared" si="3"/>
        <v>0</v>
      </c>
      <c r="W13">
        <f t="shared" si="4"/>
        <v>0</v>
      </c>
      <c r="AA13" s="8"/>
      <c r="AJ13" s="4"/>
    </row>
    <row r="14" spans="1:40" x14ac:dyDescent="0.25">
      <c r="A14">
        <v>13</v>
      </c>
      <c r="B14">
        <v>9</v>
      </c>
      <c r="C14" t="s">
        <v>49</v>
      </c>
      <c r="D14" s="16" t="s">
        <v>883</v>
      </c>
      <c r="F14">
        <v>26.14</v>
      </c>
      <c r="G14">
        <v>270</v>
      </c>
      <c r="H14">
        <v>3</v>
      </c>
      <c r="I14">
        <f>2*1.2*(6.5+4)</f>
        <v>25.2</v>
      </c>
      <c r="L14">
        <f>Constants!$B$2</f>
        <v>2.8</v>
      </c>
      <c r="M14">
        <f t="shared" si="0"/>
        <v>270</v>
      </c>
      <c r="N14">
        <f>P14*Constants!$E$2</f>
        <v>5.0999999999999996</v>
      </c>
      <c r="P14">
        <f t="shared" si="1"/>
        <v>3</v>
      </c>
      <c r="Q14">
        <f>P14*Constants!$B$3</f>
        <v>12.599999999999998</v>
      </c>
      <c r="R14">
        <f t="shared" si="5"/>
        <v>7.4999999999999982</v>
      </c>
      <c r="S14">
        <f t="shared" si="2"/>
        <v>22.2</v>
      </c>
      <c r="T14">
        <f>S14*Constants!$B$2</f>
        <v>62.16</v>
      </c>
      <c r="V14">
        <f t="shared" si="3"/>
        <v>0</v>
      </c>
      <c r="W14">
        <f t="shared" si="4"/>
        <v>0</v>
      </c>
      <c r="AA14" s="8"/>
      <c r="AJ14" s="4"/>
    </row>
    <row r="15" spans="1:40" x14ac:dyDescent="0.25">
      <c r="A15">
        <v>14</v>
      </c>
      <c r="B15">
        <v>9</v>
      </c>
      <c r="C15" t="s">
        <v>57</v>
      </c>
      <c r="D15" s="16" t="s">
        <v>884</v>
      </c>
      <c r="E15" s="16" t="s">
        <v>883</v>
      </c>
      <c r="F15">
        <v>3.71</v>
      </c>
      <c r="G15" t="s">
        <v>44</v>
      </c>
      <c r="H15">
        <v>0</v>
      </c>
      <c r="I15">
        <v>7.44</v>
      </c>
      <c r="L15">
        <f>Constants!$B$2</f>
        <v>2.8</v>
      </c>
      <c r="M15" t="str">
        <f t="shared" si="0"/>
        <v>N/A</v>
      </c>
      <c r="N15">
        <f>P15*Constants!$E$2</f>
        <v>0</v>
      </c>
      <c r="P15">
        <f t="shared" si="1"/>
        <v>0</v>
      </c>
      <c r="Q15">
        <f>P15*Constants!$B$3</f>
        <v>0</v>
      </c>
      <c r="R15">
        <f t="shared" si="5"/>
        <v>0</v>
      </c>
      <c r="S15">
        <f t="shared" si="2"/>
        <v>7.44</v>
      </c>
      <c r="T15">
        <f>S15*Constants!$B$2</f>
        <v>20.832000000000001</v>
      </c>
      <c r="V15">
        <f t="shared" si="3"/>
        <v>0</v>
      </c>
      <c r="W15">
        <f t="shared" si="4"/>
        <v>0</v>
      </c>
      <c r="AA15" s="8"/>
      <c r="AJ15" s="4"/>
    </row>
    <row r="16" spans="1:40" x14ac:dyDescent="0.25">
      <c r="A16">
        <v>15</v>
      </c>
      <c r="B16">
        <v>9</v>
      </c>
      <c r="C16" t="s">
        <v>49</v>
      </c>
      <c r="D16" s="16" t="s">
        <v>885</v>
      </c>
      <c r="F16">
        <v>24.58</v>
      </c>
      <c r="G16">
        <v>270</v>
      </c>
      <c r="H16">
        <v>3.6</v>
      </c>
      <c r="I16">
        <f>2*1.2*(6+3)</f>
        <v>21.599999999999998</v>
      </c>
      <c r="L16">
        <f>Constants!$B$2</f>
        <v>2.8</v>
      </c>
      <c r="M16">
        <f>IF(N16&gt;0,G16,"N/A")</f>
        <v>270</v>
      </c>
      <c r="N16">
        <f>P16*Constants!$E$2</f>
        <v>6.12</v>
      </c>
      <c r="P16">
        <f>H16</f>
        <v>3.6</v>
      </c>
      <c r="Q16">
        <f>P16*Constants!$B$3</f>
        <v>15.119999999999997</v>
      </c>
      <c r="R16">
        <f t="shared" si="5"/>
        <v>8.9999999999999964</v>
      </c>
      <c r="S16">
        <f>I16-P16</f>
        <v>17.999999999999996</v>
      </c>
      <c r="T16">
        <f>S16*Constants!$B$2</f>
        <v>50.399999999999984</v>
      </c>
      <c r="V16">
        <f t="shared" si="3"/>
        <v>0</v>
      </c>
      <c r="W16">
        <f t="shared" si="4"/>
        <v>0</v>
      </c>
      <c r="AA16" s="8"/>
      <c r="AJ16" s="4"/>
    </row>
    <row r="17" spans="1:36" x14ac:dyDescent="0.25">
      <c r="A17">
        <v>16</v>
      </c>
      <c r="B17">
        <v>9</v>
      </c>
      <c r="C17" t="s">
        <v>57</v>
      </c>
      <c r="D17" s="16" t="s">
        <v>884</v>
      </c>
      <c r="E17" s="16" t="s">
        <v>883</v>
      </c>
      <c r="F17">
        <v>3.71</v>
      </c>
      <c r="G17" t="s">
        <v>44</v>
      </c>
      <c r="H17">
        <v>0</v>
      </c>
      <c r="I17">
        <v>7.44</v>
      </c>
      <c r="L17">
        <f>Constants!$B$2</f>
        <v>2.8</v>
      </c>
      <c r="M17" t="str">
        <f t="shared" ref="M17" si="10">IF(N17&gt;0,G17,"N/A")</f>
        <v>N/A</v>
      </c>
      <c r="N17">
        <f>P17*Constants!$E$2</f>
        <v>0</v>
      </c>
      <c r="P17">
        <f t="shared" ref="P17" si="11">H17</f>
        <v>0</v>
      </c>
      <c r="Q17">
        <f>P17*Constants!$B$3</f>
        <v>0</v>
      </c>
      <c r="R17">
        <f t="shared" si="5"/>
        <v>0</v>
      </c>
      <c r="S17">
        <f t="shared" ref="S17" si="12">I17-P17</f>
        <v>7.44</v>
      </c>
      <c r="T17">
        <f>S17*Constants!$B$2</f>
        <v>20.832000000000001</v>
      </c>
      <c r="V17">
        <f t="shared" si="3"/>
        <v>0</v>
      </c>
      <c r="W17">
        <f t="shared" si="4"/>
        <v>0</v>
      </c>
      <c r="AA17" s="8"/>
      <c r="AJ17" s="4"/>
    </row>
    <row r="18" spans="1:36" x14ac:dyDescent="0.25">
      <c r="A18">
        <v>17</v>
      </c>
      <c r="B18">
        <v>9</v>
      </c>
      <c r="C18" t="s">
        <v>49</v>
      </c>
      <c r="D18" s="16" t="s">
        <v>886</v>
      </c>
      <c r="F18">
        <v>24.56</v>
      </c>
      <c r="G18">
        <v>270</v>
      </c>
      <c r="H18">
        <v>3.6</v>
      </c>
      <c r="I18">
        <f>2*(7.8+3.6)</f>
        <v>22.8</v>
      </c>
      <c r="L18">
        <f>Constants!$B$2</f>
        <v>2.8</v>
      </c>
      <c r="M18">
        <f t="shared" si="0"/>
        <v>270</v>
      </c>
      <c r="N18">
        <f>P18*Constants!$E$2</f>
        <v>6.12</v>
      </c>
      <c r="P18">
        <f t="shared" si="1"/>
        <v>3.6</v>
      </c>
      <c r="Q18">
        <f>P18*Constants!$B$3</f>
        <v>15.119999999999997</v>
      </c>
      <c r="R18">
        <f t="shared" si="5"/>
        <v>8.9999999999999964</v>
      </c>
      <c r="S18">
        <f t="shared" si="2"/>
        <v>19.2</v>
      </c>
      <c r="T18">
        <f>S18*Constants!$B$2</f>
        <v>53.76</v>
      </c>
      <c r="V18">
        <f t="shared" si="3"/>
        <v>0</v>
      </c>
      <c r="W18">
        <f t="shared" si="4"/>
        <v>0</v>
      </c>
      <c r="AA18" s="8"/>
      <c r="AJ18" s="4"/>
    </row>
    <row r="19" spans="1:36" x14ac:dyDescent="0.25">
      <c r="A19">
        <v>18</v>
      </c>
      <c r="B19">
        <v>9</v>
      </c>
      <c r="C19" t="s">
        <v>57</v>
      </c>
      <c r="D19" s="16" t="s">
        <v>887</v>
      </c>
      <c r="E19" s="16" t="s">
        <v>886</v>
      </c>
      <c r="F19">
        <v>3.71</v>
      </c>
      <c r="G19" t="s">
        <v>44</v>
      </c>
      <c r="H19">
        <v>0</v>
      </c>
      <c r="I19">
        <v>8.5500000000000007</v>
      </c>
      <c r="L19">
        <f>Constants!$B$2</f>
        <v>2.8</v>
      </c>
      <c r="M19" t="str">
        <f t="shared" si="0"/>
        <v>N/A</v>
      </c>
      <c r="N19">
        <f>P19*Constants!$E$2</f>
        <v>0</v>
      </c>
      <c r="P19">
        <f t="shared" si="1"/>
        <v>0</v>
      </c>
      <c r="Q19">
        <f>P19*Constants!$B$3</f>
        <v>0</v>
      </c>
      <c r="R19">
        <f t="shared" si="5"/>
        <v>0</v>
      </c>
      <c r="S19">
        <f t="shared" si="2"/>
        <v>8.5500000000000007</v>
      </c>
      <c r="T19">
        <f>S19*Constants!$B$2</f>
        <v>23.94</v>
      </c>
      <c r="V19">
        <f t="shared" si="3"/>
        <v>0</v>
      </c>
      <c r="W19">
        <f t="shared" si="4"/>
        <v>0</v>
      </c>
      <c r="AA19" s="8"/>
      <c r="AJ19" s="4"/>
    </row>
    <row r="20" spans="1:36" x14ac:dyDescent="0.25">
      <c r="A20">
        <v>19</v>
      </c>
      <c r="B20">
        <v>9</v>
      </c>
      <c r="C20" t="s">
        <v>54</v>
      </c>
      <c r="D20" s="16" t="s">
        <v>888</v>
      </c>
      <c r="F20">
        <v>24.56</v>
      </c>
      <c r="G20">
        <v>270</v>
      </c>
      <c r="H20">
        <v>6.9</v>
      </c>
      <c r="I20">
        <f>2*(7.8+3.6)</f>
        <v>22.8</v>
      </c>
      <c r="L20">
        <f>Constants!$B$2</f>
        <v>2.8</v>
      </c>
      <c r="M20">
        <f t="shared" si="0"/>
        <v>270</v>
      </c>
      <c r="N20">
        <f>P20*Constants!$E$2</f>
        <v>11.73</v>
      </c>
      <c r="P20">
        <f t="shared" si="1"/>
        <v>6.9</v>
      </c>
      <c r="Q20">
        <f>P20*Constants!$B$3</f>
        <v>28.979999999999997</v>
      </c>
      <c r="R20">
        <f t="shared" si="5"/>
        <v>17.249999999999996</v>
      </c>
      <c r="S20">
        <f t="shared" si="2"/>
        <v>15.9</v>
      </c>
      <c r="T20">
        <f>S20*Constants!$B$2</f>
        <v>44.519999999999996</v>
      </c>
      <c r="V20">
        <f t="shared" si="3"/>
        <v>0</v>
      </c>
      <c r="W20">
        <f t="shared" si="4"/>
        <v>0</v>
      </c>
      <c r="AA20" s="8"/>
      <c r="AJ20" s="4"/>
    </row>
    <row r="21" spans="1:36" x14ac:dyDescent="0.25">
      <c r="A21">
        <v>20</v>
      </c>
      <c r="B21">
        <v>9</v>
      </c>
      <c r="C21" t="s">
        <v>57</v>
      </c>
      <c r="D21" s="16" t="s">
        <v>889</v>
      </c>
      <c r="E21" s="16" t="s">
        <v>888</v>
      </c>
      <c r="F21">
        <v>3.71</v>
      </c>
      <c r="G21" t="s">
        <v>44</v>
      </c>
      <c r="H21">
        <v>0</v>
      </c>
      <c r="I21">
        <v>8.5500000000000007</v>
      </c>
      <c r="L21">
        <f>Constants!$B$2</f>
        <v>2.8</v>
      </c>
      <c r="M21" t="str">
        <f t="shared" si="0"/>
        <v>N/A</v>
      </c>
      <c r="N21">
        <f>P21*Constants!$E$2</f>
        <v>0</v>
      </c>
      <c r="P21">
        <f t="shared" si="1"/>
        <v>0</v>
      </c>
      <c r="Q21">
        <f>P21*Constants!$B$3</f>
        <v>0</v>
      </c>
      <c r="R21">
        <f t="shared" si="5"/>
        <v>0</v>
      </c>
      <c r="S21">
        <f t="shared" si="2"/>
        <v>8.5500000000000007</v>
      </c>
      <c r="T21">
        <f>S21*Constants!$B$2</f>
        <v>23.94</v>
      </c>
      <c r="V21">
        <f t="shared" si="3"/>
        <v>0</v>
      </c>
      <c r="W21">
        <f t="shared" si="4"/>
        <v>0</v>
      </c>
      <c r="AA21" s="8"/>
      <c r="AJ21" s="4"/>
    </row>
    <row r="22" spans="1:36" x14ac:dyDescent="0.25">
      <c r="A22">
        <v>21</v>
      </c>
      <c r="B22">
        <v>9</v>
      </c>
      <c r="C22" t="s">
        <v>62</v>
      </c>
      <c r="D22" s="16" t="s">
        <v>914</v>
      </c>
      <c r="F22">
        <v>20.76</v>
      </c>
      <c r="G22">
        <v>0</v>
      </c>
      <c r="H22">
        <v>4</v>
      </c>
      <c r="I22">
        <f>2*(4+5.3)</f>
        <v>18.600000000000001</v>
      </c>
      <c r="L22">
        <f>Constants!$B$2</f>
        <v>2.8</v>
      </c>
      <c r="M22">
        <f t="shared" si="0"/>
        <v>0</v>
      </c>
      <c r="N22">
        <f>P22*Constants!$E$2</f>
        <v>6.8</v>
      </c>
      <c r="P22">
        <f t="shared" si="1"/>
        <v>4</v>
      </c>
      <c r="Q22">
        <f>P22*Constants!$B$3</f>
        <v>16.799999999999997</v>
      </c>
      <c r="R22">
        <f t="shared" si="5"/>
        <v>9.9999999999999964</v>
      </c>
      <c r="S22">
        <f t="shared" si="2"/>
        <v>14.600000000000001</v>
      </c>
      <c r="T22">
        <f>S22*Constants!$B$2</f>
        <v>40.880000000000003</v>
      </c>
      <c r="V22">
        <f t="shared" si="3"/>
        <v>0</v>
      </c>
      <c r="W22">
        <f t="shared" si="4"/>
        <v>0</v>
      </c>
      <c r="AA22" s="8"/>
      <c r="AJ22" s="4"/>
    </row>
    <row r="23" spans="1:36" x14ac:dyDescent="0.25">
      <c r="A23">
        <v>22</v>
      </c>
      <c r="B23">
        <v>9</v>
      </c>
      <c r="C23" t="s">
        <v>64</v>
      </c>
      <c r="D23" s="16" t="s">
        <v>890</v>
      </c>
      <c r="F23">
        <v>3.72</v>
      </c>
      <c r="G23">
        <v>90</v>
      </c>
      <c r="H23">
        <v>1.4</v>
      </c>
      <c r="I23">
        <f>2*(3.5+1.4)</f>
        <v>9.8000000000000007</v>
      </c>
      <c r="L23">
        <f>Constants!$B$2</f>
        <v>2.8</v>
      </c>
      <c r="M23">
        <f t="shared" si="0"/>
        <v>90</v>
      </c>
      <c r="N23">
        <f>P23*Constants!$E$2</f>
        <v>2.38</v>
      </c>
      <c r="P23">
        <f t="shared" si="1"/>
        <v>1.4</v>
      </c>
      <c r="Q23">
        <f>P23*Constants!$B$3</f>
        <v>5.879999999999999</v>
      </c>
      <c r="R23">
        <f t="shared" si="5"/>
        <v>3.4999999999999991</v>
      </c>
      <c r="S23">
        <f t="shared" si="2"/>
        <v>8.4</v>
      </c>
      <c r="T23">
        <f>S23*Constants!$B$2</f>
        <v>23.52</v>
      </c>
      <c r="V23">
        <f t="shared" si="3"/>
        <v>0</v>
      </c>
      <c r="W23">
        <f t="shared" si="4"/>
        <v>0</v>
      </c>
      <c r="AA23" s="8"/>
      <c r="AJ23" s="4"/>
    </row>
    <row r="24" spans="1:36" x14ac:dyDescent="0.25">
      <c r="A24">
        <v>23</v>
      </c>
      <c r="B24">
        <v>9</v>
      </c>
      <c r="C24" t="s">
        <v>64</v>
      </c>
      <c r="D24" s="16" t="s">
        <v>891</v>
      </c>
      <c r="F24">
        <v>3.72</v>
      </c>
      <c r="G24">
        <v>90</v>
      </c>
      <c r="H24">
        <v>1.4</v>
      </c>
      <c r="I24">
        <f>2*(3.5+1.4)</f>
        <v>9.8000000000000007</v>
      </c>
      <c r="L24">
        <f>Constants!$B$2</f>
        <v>2.8</v>
      </c>
      <c r="M24">
        <f t="shared" si="0"/>
        <v>90</v>
      </c>
      <c r="N24">
        <f>P24*Constants!$E$2</f>
        <v>2.38</v>
      </c>
      <c r="P24">
        <f t="shared" si="1"/>
        <v>1.4</v>
      </c>
      <c r="Q24">
        <f>P24*Constants!$B$3</f>
        <v>5.879999999999999</v>
      </c>
      <c r="R24">
        <f t="shared" si="5"/>
        <v>3.4999999999999991</v>
      </c>
      <c r="S24">
        <f t="shared" si="2"/>
        <v>8.4</v>
      </c>
      <c r="T24">
        <f>S24*Constants!$B$2</f>
        <v>23.52</v>
      </c>
      <c r="V24">
        <f t="shared" si="3"/>
        <v>0</v>
      </c>
      <c r="W24">
        <f t="shared" si="4"/>
        <v>0</v>
      </c>
      <c r="AA24" s="8"/>
      <c r="AJ24" s="4"/>
    </row>
    <row r="25" spans="1:36" x14ac:dyDescent="0.25">
      <c r="A25">
        <v>24</v>
      </c>
      <c r="B25">
        <v>9</v>
      </c>
      <c r="C25" t="s">
        <v>62</v>
      </c>
      <c r="D25" s="16" t="s">
        <v>892</v>
      </c>
      <c r="F25">
        <f>56.65+68.9</f>
        <v>125.55000000000001</v>
      </c>
      <c r="G25" t="s">
        <v>44</v>
      </c>
      <c r="H25">
        <v>0</v>
      </c>
      <c r="I25">
        <v>100.25</v>
      </c>
      <c r="L25">
        <f>Constants!$B$2</f>
        <v>2.8</v>
      </c>
      <c r="M25" t="str">
        <f t="shared" si="0"/>
        <v>N/A</v>
      </c>
      <c r="N25">
        <f>P25*Constants!$E$2</f>
        <v>0</v>
      </c>
      <c r="P25">
        <f t="shared" si="1"/>
        <v>0</v>
      </c>
      <c r="Q25">
        <f>P25*Constants!$B$3</f>
        <v>0</v>
      </c>
      <c r="R25">
        <f t="shared" si="5"/>
        <v>0</v>
      </c>
      <c r="S25">
        <f t="shared" si="2"/>
        <v>100.25</v>
      </c>
      <c r="T25">
        <f>S25*Constants!$B$2</f>
        <v>280.7</v>
      </c>
      <c r="V25">
        <f t="shared" si="3"/>
        <v>0</v>
      </c>
      <c r="W25">
        <f t="shared" si="4"/>
        <v>0</v>
      </c>
      <c r="AA25" s="8"/>
      <c r="AJ25" s="4"/>
    </row>
    <row r="26" spans="1:36" x14ac:dyDescent="0.25">
      <c r="A26">
        <v>25</v>
      </c>
      <c r="B26">
        <v>9</v>
      </c>
      <c r="C26" t="s">
        <v>49</v>
      </c>
      <c r="D26" s="16" t="s">
        <v>893</v>
      </c>
      <c r="E26" s="16"/>
      <c r="F26">
        <v>24.76</v>
      </c>
      <c r="G26">
        <v>90</v>
      </c>
      <c r="H26">
        <f>3.3+3.6</f>
        <v>6.9</v>
      </c>
      <c r="I26">
        <f>2*(7.8+3.6)</f>
        <v>22.8</v>
      </c>
      <c r="L26">
        <f>Constants!$B$2</f>
        <v>2.8</v>
      </c>
      <c r="M26">
        <f t="shared" si="0"/>
        <v>90</v>
      </c>
      <c r="N26">
        <f>P26*Constants!$E$2</f>
        <v>11.73</v>
      </c>
      <c r="P26">
        <f t="shared" si="1"/>
        <v>6.9</v>
      </c>
      <c r="Q26">
        <f>P26*Constants!$B$3</f>
        <v>28.979999999999997</v>
      </c>
      <c r="R26">
        <f t="shared" si="5"/>
        <v>17.249999999999996</v>
      </c>
      <c r="S26">
        <f t="shared" si="2"/>
        <v>15.9</v>
      </c>
      <c r="T26">
        <f>S26*Constants!$B$2</f>
        <v>44.519999999999996</v>
      </c>
      <c r="V26">
        <f t="shared" si="3"/>
        <v>0</v>
      </c>
      <c r="W26">
        <f t="shared" si="4"/>
        <v>0</v>
      </c>
      <c r="AA26" s="8"/>
      <c r="AJ26" s="4"/>
    </row>
    <row r="27" spans="1:36" x14ac:dyDescent="0.25">
      <c r="A27">
        <v>26</v>
      </c>
      <c r="B27">
        <v>9</v>
      </c>
      <c r="C27" t="s">
        <v>57</v>
      </c>
      <c r="D27" s="16" t="s">
        <v>894</v>
      </c>
      <c r="E27" s="16" t="s">
        <v>893</v>
      </c>
      <c r="F27">
        <v>2.2400000000000002</v>
      </c>
      <c r="G27" t="s">
        <v>44</v>
      </c>
      <c r="H27">
        <v>0</v>
      </c>
      <c r="I27">
        <v>8.5500000000000007</v>
      </c>
      <c r="L27">
        <f>Constants!$B$2</f>
        <v>2.8</v>
      </c>
      <c r="M27" t="str">
        <f t="shared" si="0"/>
        <v>N/A</v>
      </c>
      <c r="N27">
        <f>P27*Constants!$E$2</f>
        <v>0</v>
      </c>
      <c r="P27">
        <f t="shared" si="1"/>
        <v>0</v>
      </c>
      <c r="Q27">
        <f>P27*Constants!$B$3</f>
        <v>0</v>
      </c>
      <c r="R27">
        <f t="shared" si="5"/>
        <v>0</v>
      </c>
      <c r="S27">
        <f t="shared" si="2"/>
        <v>8.5500000000000007</v>
      </c>
      <c r="T27">
        <f>S27*Constants!$B$2</f>
        <v>23.94</v>
      </c>
      <c r="V27">
        <f t="shared" si="3"/>
        <v>0</v>
      </c>
      <c r="W27">
        <f t="shared" si="4"/>
        <v>0</v>
      </c>
      <c r="AA27" s="8"/>
      <c r="AJ27" s="4"/>
    </row>
    <row r="28" spans="1:36" x14ac:dyDescent="0.25">
      <c r="A28">
        <v>27</v>
      </c>
      <c r="B28">
        <v>9</v>
      </c>
      <c r="C28" t="s">
        <v>49</v>
      </c>
      <c r="D28" s="16" t="s">
        <v>895</v>
      </c>
      <c r="E28" s="16"/>
      <c r="F28">
        <v>24.76</v>
      </c>
      <c r="G28">
        <v>90</v>
      </c>
      <c r="H28">
        <v>3.6</v>
      </c>
      <c r="I28">
        <f>2*(7.8+3.6)</f>
        <v>22.8</v>
      </c>
      <c r="L28">
        <f>Constants!$B$2</f>
        <v>2.8</v>
      </c>
      <c r="M28">
        <f t="shared" si="0"/>
        <v>90</v>
      </c>
      <c r="N28">
        <f>P28*Constants!$E$2</f>
        <v>6.12</v>
      </c>
      <c r="P28">
        <f t="shared" si="1"/>
        <v>3.6</v>
      </c>
      <c r="Q28">
        <f>P28*Constants!$B$3</f>
        <v>15.119999999999997</v>
      </c>
      <c r="R28">
        <f t="shared" si="5"/>
        <v>8.9999999999999964</v>
      </c>
      <c r="S28">
        <f t="shared" si="2"/>
        <v>19.2</v>
      </c>
      <c r="T28">
        <f>S28*Constants!$B$2</f>
        <v>53.76</v>
      </c>
      <c r="V28">
        <f t="shared" si="3"/>
        <v>0</v>
      </c>
      <c r="W28">
        <f t="shared" si="4"/>
        <v>0</v>
      </c>
      <c r="AA28" s="8"/>
      <c r="AJ28" s="4"/>
    </row>
    <row r="29" spans="1:36" x14ac:dyDescent="0.25">
      <c r="A29">
        <v>28</v>
      </c>
      <c r="B29">
        <v>9</v>
      </c>
      <c r="C29" t="s">
        <v>57</v>
      </c>
      <c r="D29" s="16" t="s">
        <v>896</v>
      </c>
      <c r="E29" s="16" t="s">
        <v>895</v>
      </c>
      <c r="F29">
        <v>2.2400000000000002</v>
      </c>
      <c r="G29" t="s">
        <v>44</v>
      </c>
      <c r="H29">
        <v>0</v>
      </c>
      <c r="I29">
        <v>8.5500000000000007</v>
      </c>
      <c r="L29">
        <f>Constants!$B$2</f>
        <v>2.8</v>
      </c>
      <c r="M29" t="str">
        <f t="shared" si="0"/>
        <v>N/A</v>
      </c>
      <c r="N29">
        <f>P29*Constants!$E$2</f>
        <v>0</v>
      </c>
      <c r="P29">
        <f t="shared" si="1"/>
        <v>0</v>
      </c>
      <c r="Q29">
        <f>P29*Constants!$B$3</f>
        <v>0</v>
      </c>
      <c r="R29">
        <f t="shared" si="5"/>
        <v>0</v>
      </c>
      <c r="S29">
        <f t="shared" si="2"/>
        <v>8.5500000000000007</v>
      </c>
      <c r="T29">
        <f>S29*Constants!$B$2</f>
        <v>23.94</v>
      </c>
      <c r="V29">
        <f t="shared" si="3"/>
        <v>0</v>
      </c>
      <c r="W29">
        <f t="shared" si="4"/>
        <v>0</v>
      </c>
      <c r="AA29" s="8"/>
      <c r="AJ29" s="4"/>
    </row>
    <row r="30" spans="1:36" x14ac:dyDescent="0.25">
      <c r="A30">
        <v>29</v>
      </c>
      <c r="B30">
        <v>9</v>
      </c>
      <c r="C30" t="s">
        <v>49</v>
      </c>
      <c r="D30" s="16" t="s">
        <v>897</v>
      </c>
      <c r="E30" s="16"/>
      <c r="F30">
        <v>24.76</v>
      </c>
      <c r="G30">
        <v>90</v>
      </c>
      <c r="H30">
        <v>3.6</v>
      </c>
      <c r="I30">
        <f>2*(7.8+3.6)</f>
        <v>22.8</v>
      </c>
      <c r="L30">
        <f>Constants!$B$2</f>
        <v>2.8</v>
      </c>
      <c r="M30">
        <f t="shared" si="0"/>
        <v>90</v>
      </c>
      <c r="N30">
        <f>P30*Constants!$E$2</f>
        <v>6.12</v>
      </c>
      <c r="P30">
        <f t="shared" si="1"/>
        <v>3.6</v>
      </c>
      <c r="Q30">
        <f>P30*Constants!$B$3</f>
        <v>15.119999999999997</v>
      </c>
      <c r="R30">
        <f t="shared" si="5"/>
        <v>8.9999999999999964</v>
      </c>
      <c r="S30">
        <f t="shared" si="2"/>
        <v>19.2</v>
      </c>
      <c r="T30">
        <f>S30*Constants!$B$2</f>
        <v>53.76</v>
      </c>
      <c r="V30">
        <f t="shared" si="3"/>
        <v>0</v>
      </c>
      <c r="W30">
        <f t="shared" si="4"/>
        <v>0</v>
      </c>
      <c r="AA30" s="8"/>
      <c r="AJ30" s="4"/>
    </row>
    <row r="31" spans="1:36" x14ac:dyDescent="0.25">
      <c r="A31">
        <v>30</v>
      </c>
      <c r="B31">
        <v>9</v>
      </c>
      <c r="C31" t="s">
        <v>57</v>
      </c>
      <c r="D31" s="16" t="s">
        <v>898</v>
      </c>
      <c r="E31" s="16" t="s">
        <v>897</v>
      </c>
      <c r="F31">
        <v>2.2400000000000002</v>
      </c>
      <c r="G31" t="s">
        <v>44</v>
      </c>
      <c r="H31">
        <v>0</v>
      </c>
      <c r="I31">
        <v>8.5500000000000007</v>
      </c>
      <c r="L31">
        <f>Constants!$B$2</f>
        <v>2.8</v>
      </c>
      <c r="M31" t="str">
        <f t="shared" si="0"/>
        <v>N/A</v>
      </c>
      <c r="N31">
        <f>P31*Constants!$E$2</f>
        <v>0</v>
      </c>
      <c r="P31">
        <f t="shared" si="1"/>
        <v>0</v>
      </c>
      <c r="Q31">
        <f>P31*Constants!$B$3</f>
        <v>0</v>
      </c>
      <c r="R31">
        <f t="shared" si="5"/>
        <v>0</v>
      </c>
      <c r="S31">
        <f t="shared" si="2"/>
        <v>8.5500000000000007</v>
      </c>
      <c r="T31">
        <f>S31*Constants!$B$2</f>
        <v>23.94</v>
      </c>
      <c r="V31">
        <f t="shared" si="3"/>
        <v>0</v>
      </c>
      <c r="W31">
        <f t="shared" si="4"/>
        <v>0</v>
      </c>
      <c r="AA31" s="8"/>
      <c r="AJ31" s="4"/>
    </row>
    <row r="32" spans="1:36" x14ac:dyDescent="0.25">
      <c r="A32">
        <v>31</v>
      </c>
      <c r="B32">
        <v>9</v>
      </c>
      <c r="C32" t="s">
        <v>49</v>
      </c>
      <c r="D32" s="16" t="s">
        <v>899</v>
      </c>
      <c r="E32" s="16"/>
      <c r="F32">
        <v>12.56</v>
      </c>
      <c r="G32">
        <v>90</v>
      </c>
      <c r="H32">
        <v>3</v>
      </c>
      <c r="I32">
        <f>2*1.2*(2.5+4.5)</f>
        <v>16.8</v>
      </c>
      <c r="L32">
        <f>Constants!$B$2</f>
        <v>2.8</v>
      </c>
      <c r="M32">
        <f t="shared" si="0"/>
        <v>90</v>
      </c>
      <c r="N32">
        <f>P32*Constants!$E$2</f>
        <v>5.0999999999999996</v>
      </c>
      <c r="P32">
        <f t="shared" si="1"/>
        <v>3</v>
      </c>
      <c r="Q32">
        <f>P32*Constants!$B$3</f>
        <v>12.599999999999998</v>
      </c>
      <c r="R32">
        <f t="shared" si="5"/>
        <v>7.4999999999999982</v>
      </c>
      <c r="S32">
        <f t="shared" si="2"/>
        <v>13.8</v>
      </c>
      <c r="T32">
        <f>S32*Constants!$B$2</f>
        <v>38.64</v>
      </c>
      <c r="V32">
        <f t="shared" si="3"/>
        <v>0</v>
      </c>
      <c r="W32">
        <f t="shared" si="4"/>
        <v>0</v>
      </c>
      <c r="AA32" s="8"/>
      <c r="AJ32" s="4"/>
    </row>
    <row r="33" spans="1:36" x14ac:dyDescent="0.25">
      <c r="A33">
        <v>32</v>
      </c>
      <c r="B33">
        <v>9</v>
      </c>
      <c r="C33" t="s">
        <v>49</v>
      </c>
      <c r="D33" s="16" t="s">
        <v>900</v>
      </c>
      <c r="E33" s="16"/>
      <c r="F33">
        <v>25.06</v>
      </c>
      <c r="G33">
        <v>90</v>
      </c>
      <c r="H33">
        <v>3</v>
      </c>
      <c r="I33">
        <f>2*1.2*(6.5+4)</f>
        <v>25.2</v>
      </c>
      <c r="L33">
        <f>Constants!$B$2</f>
        <v>2.8</v>
      </c>
      <c r="M33">
        <f t="shared" si="0"/>
        <v>90</v>
      </c>
      <c r="N33">
        <f>P33*Constants!$E$2</f>
        <v>5.0999999999999996</v>
      </c>
      <c r="P33">
        <f t="shared" si="1"/>
        <v>3</v>
      </c>
      <c r="Q33">
        <f>P33*Constants!$B$3</f>
        <v>12.599999999999998</v>
      </c>
      <c r="R33">
        <f t="shared" si="5"/>
        <v>7.4999999999999982</v>
      </c>
      <c r="S33">
        <f t="shared" si="2"/>
        <v>22.2</v>
      </c>
      <c r="T33">
        <f>S33*Constants!$B$2</f>
        <v>62.16</v>
      </c>
      <c r="V33">
        <f t="shared" si="3"/>
        <v>0</v>
      </c>
      <c r="W33">
        <f t="shared" si="4"/>
        <v>0</v>
      </c>
      <c r="AA33" s="8"/>
      <c r="AJ33" s="4"/>
    </row>
    <row r="34" spans="1:36" x14ac:dyDescent="0.25">
      <c r="A34">
        <v>33</v>
      </c>
      <c r="B34">
        <v>9</v>
      </c>
      <c r="C34" t="s">
        <v>57</v>
      </c>
      <c r="D34" s="16" t="s">
        <v>901</v>
      </c>
      <c r="E34" s="16" t="s">
        <v>900</v>
      </c>
      <c r="F34">
        <v>2.2400000000000002</v>
      </c>
      <c r="G34" t="s">
        <v>44</v>
      </c>
      <c r="H34">
        <v>0</v>
      </c>
      <c r="I34">
        <v>8.5500000000000007</v>
      </c>
      <c r="L34">
        <f>Constants!$B$2</f>
        <v>2.8</v>
      </c>
      <c r="M34" t="str">
        <f t="shared" si="0"/>
        <v>N/A</v>
      </c>
      <c r="N34">
        <f>P34*Constants!$E$2</f>
        <v>0</v>
      </c>
      <c r="P34">
        <f t="shared" si="1"/>
        <v>0</v>
      </c>
      <c r="Q34">
        <f>P34*Constants!$B$3</f>
        <v>0</v>
      </c>
      <c r="R34">
        <f t="shared" si="5"/>
        <v>0</v>
      </c>
      <c r="S34">
        <f t="shared" si="2"/>
        <v>8.5500000000000007</v>
      </c>
      <c r="T34">
        <f>S34*Constants!$B$2</f>
        <v>23.94</v>
      </c>
      <c r="V34">
        <f t="shared" si="3"/>
        <v>0</v>
      </c>
      <c r="W34">
        <f t="shared" si="4"/>
        <v>0</v>
      </c>
      <c r="AA34" s="8"/>
      <c r="AJ34" s="4"/>
    </row>
    <row r="35" spans="1:36" x14ac:dyDescent="0.25">
      <c r="A35">
        <v>34</v>
      </c>
      <c r="B35">
        <v>9</v>
      </c>
      <c r="C35" t="s">
        <v>45</v>
      </c>
      <c r="D35" s="16" t="s">
        <v>902</v>
      </c>
      <c r="E35" s="16"/>
      <c r="F35">
        <v>7.76</v>
      </c>
      <c r="G35" t="s">
        <v>44</v>
      </c>
      <c r="H35">
        <v>0</v>
      </c>
      <c r="I35">
        <f>2*1.2*(2+3)</f>
        <v>12</v>
      </c>
      <c r="L35">
        <f>Constants!$B$2</f>
        <v>2.8</v>
      </c>
      <c r="M35" t="str">
        <f t="shared" si="0"/>
        <v>N/A</v>
      </c>
      <c r="N35">
        <f>P35*Constants!$E$2</f>
        <v>0</v>
      </c>
      <c r="P35">
        <f t="shared" si="1"/>
        <v>0</v>
      </c>
      <c r="Q35">
        <f>P35*Constants!$B$3</f>
        <v>0</v>
      </c>
      <c r="R35">
        <f t="shared" si="5"/>
        <v>0</v>
      </c>
      <c r="S35">
        <f t="shared" si="2"/>
        <v>12</v>
      </c>
      <c r="T35">
        <f>S35*Constants!$B$2</f>
        <v>33.599999999999994</v>
      </c>
      <c r="V35">
        <f t="shared" si="3"/>
        <v>0</v>
      </c>
      <c r="W35">
        <f t="shared" si="4"/>
        <v>0</v>
      </c>
      <c r="AA35" s="8"/>
      <c r="AJ35" s="4"/>
    </row>
    <row r="36" spans="1:36" x14ac:dyDescent="0.25">
      <c r="A36">
        <v>35</v>
      </c>
      <c r="B36">
        <v>9</v>
      </c>
      <c r="C36" t="s">
        <v>49</v>
      </c>
      <c r="D36" s="16" t="s">
        <v>903</v>
      </c>
      <c r="E36" s="16"/>
      <c r="F36">
        <v>12.56</v>
      </c>
      <c r="G36">
        <v>90</v>
      </c>
      <c r="H36">
        <v>3</v>
      </c>
      <c r="I36">
        <f>2*1.2*(2.5+4.5)</f>
        <v>16.8</v>
      </c>
      <c r="L36">
        <f>Constants!$B$2</f>
        <v>2.8</v>
      </c>
      <c r="M36">
        <f t="shared" si="0"/>
        <v>90</v>
      </c>
      <c r="N36">
        <f>P36*Constants!$E$2</f>
        <v>5.0999999999999996</v>
      </c>
      <c r="P36">
        <f t="shared" si="1"/>
        <v>3</v>
      </c>
      <c r="Q36">
        <f>P36*Constants!$B$3</f>
        <v>12.599999999999998</v>
      </c>
      <c r="R36">
        <f t="shared" si="5"/>
        <v>7.4999999999999982</v>
      </c>
      <c r="S36">
        <f t="shared" si="2"/>
        <v>13.8</v>
      </c>
      <c r="T36">
        <f>S36*Constants!$B$2</f>
        <v>38.64</v>
      </c>
      <c r="V36">
        <f t="shared" si="3"/>
        <v>0</v>
      </c>
      <c r="W36">
        <f t="shared" si="4"/>
        <v>0</v>
      </c>
      <c r="AA36" s="8"/>
      <c r="AJ36" s="4"/>
    </row>
    <row r="37" spans="1:36" x14ac:dyDescent="0.25">
      <c r="A37">
        <v>36</v>
      </c>
      <c r="B37">
        <v>9</v>
      </c>
      <c r="C37" t="s">
        <v>57</v>
      </c>
      <c r="D37" s="16" t="s">
        <v>904</v>
      </c>
      <c r="E37" s="16" t="s">
        <v>903</v>
      </c>
      <c r="F37">
        <v>3.71</v>
      </c>
      <c r="G37" t="s">
        <v>44</v>
      </c>
      <c r="H37">
        <v>0</v>
      </c>
      <c r="I37">
        <v>7.44</v>
      </c>
      <c r="L37">
        <f>Constants!$B$2</f>
        <v>2.8</v>
      </c>
      <c r="M37" t="str">
        <f t="shared" si="0"/>
        <v>N/A</v>
      </c>
      <c r="N37">
        <f>P37*Constants!$E$2</f>
        <v>0</v>
      </c>
      <c r="P37">
        <f t="shared" si="1"/>
        <v>0</v>
      </c>
      <c r="Q37">
        <f>P37*Constants!$B$3</f>
        <v>0</v>
      </c>
      <c r="R37">
        <f t="shared" si="5"/>
        <v>0</v>
      </c>
      <c r="S37">
        <f t="shared" si="2"/>
        <v>7.44</v>
      </c>
      <c r="T37">
        <f>S37*Constants!$B$2</f>
        <v>20.832000000000001</v>
      </c>
      <c r="V37">
        <f t="shared" si="3"/>
        <v>0</v>
      </c>
      <c r="W37">
        <f t="shared" si="4"/>
        <v>0</v>
      </c>
      <c r="AA37" s="8"/>
      <c r="AJ37" s="4"/>
    </row>
    <row r="38" spans="1:36" x14ac:dyDescent="0.25">
      <c r="A38">
        <v>37</v>
      </c>
      <c r="B38">
        <v>9</v>
      </c>
      <c r="C38" t="s">
        <v>49</v>
      </c>
      <c r="D38" s="16" t="s">
        <v>905</v>
      </c>
      <c r="E38" s="16"/>
      <c r="F38">
        <v>26.16</v>
      </c>
      <c r="G38">
        <v>90</v>
      </c>
      <c r="H38">
        <v>3</v>
      </c>
      <c r="I38">
        <f>2*1.2*(6.5+4)</f>
        <v>25.2</v>
      </c>
      <c r="L38">
        <f>Constants!$B$2</f>
        <v>2.8</v>
      </c>
      <c r="M38">
        <f t="shared" si="0"/>
        <v>90</v>
      </c>
      <c r="N38">
        <f>P38*Constants!$E$2</f>
        <v>5.0999999999999996</v>
      </c>
      <c r="P38">
        <f t="shared" si="1"/>
        <v>3</v>
      </c>
      <c r="Q38">
        <f>P38*Constants!$B$3</f>
        <v>12.599999999999998</v>
      </c>
      <c r="R38">
        <f t="shared" si="5"/>
        <v>7.4999999999999982</v>
      </c>
      <c r="S38">
        <f t="shared" si="2"/>
        <v>22.2</v>
      </c>
      <c r="T38">
        <f>S38*Constants!$B$2</f>
        <v>62.16</v>
      </c>
      <c r="V38">
        <f t="shared" si="3"/>
        <v>0</v>
      </c>
      <c r="W38">
        <f t="shared" si="4"/>
        <v>0</v>
      </c>
      <c r="AA38" s="8"/>
      <c r="AJ38" s="4"/>
    </row>
    <row r="39" spans="1:36" x14ac:dyDescent="0.25">
      <c r="A39">
        <v>38</v>
      </c>
      <c r="B39">
        <v>9</v>
      </c>
      <c r="C39" t="s">
        <v>57</v>
      </c>
      <c r="D39" s="16" t="s">
        <v>906</v>
      </c>
      <c r="E39" s="16" t="s">
        <v>905</v>
      </c>
      <c r="F39">
        <v>2.2400000000000002</v>
      </c>
      <c r="G39" t="s">
        <v>44</v>
      </c>
      <c r="H39">
        <v>0</v>
      </c>
      <c r="I39">
        <v>8.5500000000000007</v>
      </c>
      <c r="L39">
        <f>Constants!$B$2</f>
        <v>2.8</v>
      </c>
      <c r="M39" t="str">
        <f t="shared" si="0"/>
        <v>N/A</v>
      </c>
      <c r="N39">
        <f>P39*Constants!$E$2</f>
        <v>0</v>
      </c>
      <c r="P39">
        <f t="shared" si="1"/>
        <v>0</v>
      </c>
      <c r="Q39">
        <f>P39*Constants!$B$3</f>
        <v>0</v>
      </c>
      <c r="R39">
        <f t="shared" si="5"/>
        <v>0</v>
      </c>
      <c r="S39">
        <f t="shared" si="2"/>
        <v>8.5500000000000007</v>
      </c>
      <c r="T39">
        <f>S39*Constants!$B$2</f>
        <v>23.94</v>
      </c>
      <c r="V39">
        <f t="shared" si="3"/>
        <v>0</v>
      </c>
      <c r="W39">
        <f t="shared" si="4"/>
        <v>0</v>
      </c>
      <c r="AA39" s="8"/>
      <c r="AJ39" s="4"/>
    </row>
    <row r="40" spans="1:36" x14ac:dyDescent="0.25">
      <c r="A40">
        <v>39</v>
      </c>
      <c r="B40">
        <v>9</v>
      </c>
      <c r="C40" t="s">
        <v>49</v>
      </c>
      <c r="D40" s="16" t="s">
        <v>907</v>
      </c>
      <c r="F40">
        <v>24.58</v>
      </c>
      <c r="G40">
        <v>90</v>
      </c>
      <c r="H40">
        <v>3.6</v>
      </c>
      <c r="I40">
        <f>2*1.2*(6.5+3)</f>
        <v>22.8</v>
      </c>
      <c r="L40">
        <f>Constants!$B$2</f>
        <v>2.8</v>
      </c>
      <c r="M40">
        <f t="shared" si="0"/>
        <v>90</v>
      </c>
      <c r="N40">
        <f>P40*Constants!$E$2</f>
        <v>6.12</v>
      </c>
      <c r="P40">
        <f t="shared" si="1"/>
        <v>3.6</v>
      </c>
      <c r="Q40">
        <f>P40*Constants!$B$3</f>
        <v>15.119999999999997</v>
      </c>
      <c r="R40">
        <f t="shared" si="5"/>
        <v>8.9999999999999964</v>
      </c>
      <c r="S40">
        <f t="shared" si="2"/>
        <v>19.2</v>
      </c>
      <c r="T40">
        <f>S40*Constants!$B$2</f>
        <v>53.76</v>
      </c>
      <c r="V40">
        <f t="shared" si="3"/>
        <v>0</v>
      </c>
      <c r="W40">
        <f t="shared" si="4"/>
        <v>0</v>
      </c>
      <c r="AA40" s="8"/>
      <c r="AJ40" s="4"/>
    </row>
    <row r="41" spans="1:36" x14ac:dyDescent="0.25">
      <c r="A41">
        <v>40</v>
      </c>
      <c r="B41">
        <v>9</v>
      </c>
      <c r="C41" t="s">
        <v>57</v>
      </c>
      <c r="D41" s="16" t="s">
        <v>913</v>
      </c>
      <c r="E41" s="16" t="s">
        <v>907</v>
      </c>
      <c r="F41">
        <v>3.71</v>
      </c>
      <c r="G41" t="s">
        <v>44</v>
      </c>
      <c r="H41">
        <v>0</v>
      </c>
      <c r="I41">
        <v>8.5500000000000007</v>
      </c>
      <c r="L41">
        <f>Constants!$B$2</f>
        <v>2.8</v>
      </c>
      <c r="M41" t="str">
        <f t="shared" si="0"/>
        <v>N/A</v>
      </c>
      <c r="N41">
        <f>P41*Constants!$E$2</f>
        <v>0</v>
      </c>
      <c r="P41">
        <f t="shared" si="1"/>
        <v>0</v>
      </c>
      <c r="Q41">
        <f>P41*Constants!$B$3</f>
        <v>0</v>
      </c>
      <c r="R41">
        <f t="shared" si="5"/>
        <v>0</v>
      </c>
      <c r="S41">
        <f t="shared" si="2"/>
        <v>8.5500000000000007</v>
      </c>
      <c r="T41">
        <f>S41*Constants!$B$2</f>
        <v>23.94</v>
      </c>
      <c r="V41">
        <f t="shared" si="3"/>
        <v>0</v>
      </c>
      <c r="W41">
        <f t="shared" si="4"/>
        <v>0</v>
      </c>
      <c r="AA41" s="8"/>
      <c r="AJ41" s="4"/>
    </row>
    <row r="42" spans="1:36" x14ac:dyDescent="0.25">
      <c r="A42">
        <v>41</v>
      </c>
      <c r="B42">
        <v>9</v>
      </c>
      <c r="C42" t="s">
        <v>49</v>
      </c>
      <c r="D42" s="16" t="s">
        <v>909</v>
      </c>
      <c r="F42">
        <v>24.53</v>
      </c>
      <c r="G42">
        <v>90</v>
      </c>
      <c r="H42">
        <v>3.6</v>
      </c>
      <c r="I42">
        <f>2*(7.8+3.6)</f>
        <v>22.8</v>
      </c>
      <c r="L42">
        <f>Constants!$B$2</f>
        <v>2.8</v>
      </c>
      <c r="M42">
        <f t="shared" si="0"/>
        <v>90</v>
      </c>
      <c r="N42">
        <f>P42*Constants!$E$2</f>
        <v>6.12</v>
      </c>
      <c r="P42">
        <f t="shared" si="1"/>
        <v>3.6</v>
      </c>
      <c r="Q42">
        <f>P42*Constants!$B$3</f>
        <v>15.119999999999997</v>
      </c>
      <c r="R42">
        <f t="shared" si="5"/>
        <v>8.9999999999999964</v>
      </c>
      <c r="S42">
        <f t="shared" si="2"/>
        <v>19.2</v>
      </c>
      <c r="T42">
        <f>S42*Constants!$B$2</f>
        <v>53.76</v>
      </c>
      <c r="V42">
        <f t="shared" si="3"/>
        <v>0</v>
      </c>
      <c r="W42">
        <f t="shared" si="4"/>
        <v>0</v>
      </c>
      <c r="AA42" s="8"/>
      <c r="AJ42" s="4"/>
    </row>
    <row r="43" spans="1:36" x14ac:dyDescent="0.25">
      <c r="A43">
        <v>42</v>
      </c>
      <c r="B43">
        <v>9</v>
      </c>
      <c r="C43" t="s">
        <v>57</v>
      </c>
      <c r="D43" s="16" t="s">
        <v>908</v>
      </c>
      <c r="E43" s="16" t="s">
        <v>909</v>
      </c>
      <c r="F43">
        <v>3.71</v>
      </c>
      <c r="G43" t="s">
        <v>44</v>
      </c>
      <c r="H43">
        <v>0</v>
      </c>
      <c r="I43">
        <v>8.5500000000000007</v>
      </c>
      <c r="L43">
        <f>Constants!$B$2</f>
        <v>2.8</v>
      </c>
      <c r="M43" t="str">
        <f t="shared" si="0"/>
        <v>N/A</v>
      </c>
      <c r="N43">
        <f>P43*Constants!$E$2</f>
        <v>0</v>
      </c>
      <c r="P43">
        <f t="shared" si="1"/>
        <v>0</v>
      </c>
      <c r="Q43">
        <f>P43*Constants!$B$3</f>
        <v>0</v>
      </c>
      <c r="R43">
        <f t="shared" si="5"/>
        <v>0</v>
      </c>
      <c r="S43">
        <f t="shared" si="2"/>
        <v>8.5500000000000007</v>
      </c>
      <c r="T43">
        <f>S43*Constants!$B$2</f>
        <v>23.94</v>
      </c>
      <c r="V43">
        <f t="shared" si="3"/>
        <v>0</v>
      </c>
      <c r="W43">
        <f t="shared" si="4"/>
        <v>0</v>
      </c>
      <c r="AA43" s="8"/>
      <c r="AJ43" s="4"/>
    </row>
    <row r="44" spans="1:36" x14ac:dyDescent="0.25">
      <c r="A44">
        <v>43</v>
      </c>
      <c r="B44">
        <v>9</v>
      </c>
      <c r="C44" t="s">
        <v>54</v>
      </c>
      <c r="D44" s="16" t="s">
        <v>910</v>
      </c>
      <c r="F44">
        <v>24.76</v>
      </c>
      <c r="G44">
        <v>90</v>
      </c>
      <c r="H44">
        <v>3.6</v>
      </c>
      <c r="I44">
        <f>2*(7.8+3.6)</f>
        <v>22.8</v>
      </c>
      <c r="L44">
        <f>Constants!$B$2</f>
        <v>2.8</v>
      </c>
      <c r="M44">
        <f t="shared" si="0"/>
        <v>90</v>
      </c>
      <c r="N44">
        <f>P44*Constants!$E$2</f>
        <v>6.12</v>
      </c>
      <c r="P44">
        <f t="shared" si="1"/>
        <v>3.6</v>
      </c>
      <c r="Q44">
        <f>P44*Constants!$B$3</f>
        <v>15.119999999999997</v>
      </c>
      <c r="R44">
        <f t="shared" si="5"/>
        <v>8.9999999999999964</v>
      </c>
      <c r="S44">
        <f t="shared" si="2"/>
        <v>19.2</v>
      </c>
      <c r="T44">
        <f>S44*Constants!$B$2</f>
        <v>53.76</v>
      </c>
      <c r="V44">
        <f t="shared" si="3"/>
        <v>0</v>
      </c>
      <c r="W44">
        <f t="shared" si="4"/>
        <v>0</v>
      </c>
      <c r="AA44" s="8"/>
      <c r="AJ44" s="4"/>
    </row>
    <row r="45" spans="1:36" x14ac:dyDescent="0.25">
      <c r="A45">
        <v>44</v>
      </c>
      <c r="B45">
        <v>9</v>
      </c>
      <c r="C45" t="s">
        <v>57</v>
      </c>
      <c r="D45" s="16" t="s">
        <v>911</v>
      </c>
      <c r="E45" s="16" t="s">
        <v>910</v>
      </c>
      <c r="F45">
        <v>3.71</v>
      </c>
      <c r="G45" t="s">
        <v>44</v>
      </c>
      <c r="H45">
        <v>0</v>
      </c>
      <c r="I45">
        <v>8.5500000000000007</v>
      </c>
      <c r="L45">
        <f>Constants!$B$2</f>
        <v>2.8</v>
      </c>
      <c r="M45" t="str">
        <f t="shared" si="0"/>
        <v>N/A</v>
      </c>
      <c r="N45">
        <f>P45*Constants!$E$2</f>
        <v>0</v>
      </c>
      <c r="P45">
        <f t="shared" si="1"/>
        <v>0</v>
      </c>
      <c r="Q45">
        <f>P45*Constants!$B$3</f>
        <v>0</v>
      </c>
      <c r="R45">
        <f t="shared" si="5"/>
        <v>0</v>
      </c>
      <c r="S45">
        <f t="shared" si="2"/>
        <v>8.5500000000000007</v>
      </c>
      <c r="T45">
        <f>S45*Constants!$B$2</f>
        <v>23.94</v>
      </c>
      <c r="V45">
        <f t="shared" si="3"/>
        <v>0</v>
      </c>
      <c r="W45">
        <f t="shared" si="4"/>
        <v>0</v>
      </c>
      <c r="AA45" s="8"/>
      <c r="AJ45" s="4"/>
    </row>
    <row r="46" spans="1:36" x14ac:dyDescent="0.25">
      <c r="A46">
        <v>45</v>
      </c>
      <c r="B46">
        <v>9</v>
      </c>
      <c r="C46" t="s">
        <v>59</v>
      </c>
      <c r="D46" s="16" t="s">
        <v>912</v>
      </c>
      <c r="F46">
        <v>13.25</v>
      </c>
      <c r="G46" t="s">
        <v>44</v>
      </c>
      <c r="H46">
        <v>0</v>
      </c>
      <c r="I46">
        <f>2*1.2*(4+2.5)</f>
        <v>15.6</v>
      </c>
      <c r="L46">
        <f>Constants!$B$2</f>
        <v>2.8</v>
      </c>
      <c r="M46" t="str">
        <f t="shared" si="0"/>
        <v>N/A</v>
      </c>
      <c r="N46">
        <f>P46*Constants!$E$2</f>
        <v>0</v>
      </c>
      <c r="P46">
        <f t="shared" si="1"/>
        <v>0</v>
      </c>
      <c r="Q46">
        <f>P46*Constants!$B$3</f>
        <v>0</v>
      </c>
      <c r="R46">
        <f t="shared" si="5"/>
        <v>0</v>
      </c>
      <c r="S46">
        <f t="shared" si="2"/>
        <v>15.6</v>
      </c>
      <c r="T46">
        <f>S46*Constants!$B$2</f>
        <v>43.68</v>
      </c>
      <c r="V46">
        <f t="shared" si="3"/>
        <v>0</v>
      </c>
      <c r="W46">
        <f t="shared" si="4"/>
        <v>0</v>
      </c>
      <c r="AA46" s="8"/>
      <c r="AJ46" s="4"/>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4"/>
    </row>
    <row r="449" spans="4:4" x14ac:dyDescent="0.25">
      <c r="D449" s="14"/>
    </row>
    <row r="450" spans="4:4" x14ac:dyDescent="0.25">
      <c r="D450" s="13"/>
    </row>
    <row r="451" spans="4:4" x14ac:dyDescent="0.25">
      <c r="D451" s="13"/>
    </row>
    <row r="452" spans="4:4" x14ac:dyDescent="0.25">
      <c r="D452" s="13"/>
    </row>
    <row r="453" spans="4:4" x14ac:dyDescent="0.25">
      <c r="D453" s="13"/>
    </row>
    <row r="454" spans="4:4" x14ac:dyDescent="0.25">
      <c r="D454" s="13"/>
    </row>
    <row r="455" spans="4:4" x14ac:dyDescent="0.25">
      <c r="D455" s="13"/>
    </row>
    <row r="456" spans="4:4" x14ac:dyDescent="0.25">
      <c r="D456" s="13"/>
    </row>
    <row r="457" spans="4:4" x14ac:dyDescent="0.25">
      <c r="D457" s="13"/>
    </row>
  </sheetData>
  <pageMargins left="0.7" right="0.7" top="0.78740157499999996" bottom="0.78740157499999996"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3"/>
  <sheetViews>
    <sheetView tabSelected="1" workbookViewId="0">
      <selection activeCell="E2" sqref="E2:F2"/>
    </sheetView>
  </sheetViews>
  <sheetFormatPr baseColWidth="10" defaultRowHeight="15" x14ac:dyDescent="0.25"/>
  <cols>
    <col min="2" max="2" width="15.7109375" bestFit="1" customWidth="1"/>
    <col min="3" max="3" width="5.5703125" customWidth="1"/>
    <col min="5" max="5" width="29.140625" bestFit="1" customWidth="1"/>
  </cols>
  <sheetData>
    <row r="1" spans="1:6" x14ac:dyDescent="0.25">
      <c r="B1" s="2" t="s">
        <v>37</v>
      </c>
      <c r="C1" s="2"/>
      <c r="E1" s="2" t="s">
        <v>37</v>
      </c>
    </row>
    <row r="2" spans="1:6" x14ac:dyDescent="0.25">
      <c r="A2" t="s">
        <v>69</v>
      </c>
      <c r="B2">
        <v>2.8</v>
      </c>
      <c r="D2" t="s">
        <v>38</v>
      </c>
      <c r="E2">
        <v>1.7</v>
      </c>
      <c r="F2" t="s">
        <v>921</v>
      </c>
    </row>
    <row r="3" spans="1:6" x14ac:dyDescent="0.25">
      <c r="A3" t="s">
        <v>70</v>
      </c>
      <c r="B3">
        <f>2.8+1.4</f>
        <v>4.1999999999999993</v>
      </c>
    </row>
  </sheetData>
  <pageMargins left="0.7" right="0.7" top="0.78740157499999996" bottom="0.78740157499999996"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8"/>
  <sheetViews>
    <sheetView zoomScaleNormal="100" workbookViewId="0">
      <pane xSplit="4" ySplit="1" topLeftCell="H2" activePane="bottomRight" state="frozen"/>
      <selection pane="topRight" activeCell="F1" sqref="F1"/>
      <selection pane="bottomLeft" activeCell="A2" sqref="A2"/>
      <selection pane="bottomRight" activeCell="A2" sqref="A2:A19"/>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54</v>
      </c>
      <c r="D2" s="16" t="s">
        <v>325</v>
      </c>
      <c r="F2">
        <v>22.12</v>
      </c>
      <c r="G2">
        <v>270</v>
      </c>
      <c r="H2">
        <v>7.1</v>
      </c>
      <c r="I2">
        <v>20.95</v>
      </c>
      <c r="L2">
        <f>Constants!$B$2</f>
        <v>2.8</v>
      </c>
      <c r="M2">
        <f t="shared" ref="M2:M19" si="0">IF(N2&gt;0,G2,"N/A")</f>
        <v>270</v>
      </c>
      <c r="N2">
        <f>P2*Constants!$E$2</f>
        <v>12.069999999999999</v>
      </c>
      <c r="P2">
        <f>H2</f>
        <v>7.1</v>
      </c>
      <c r="Q2">
        <f>P2*Constants!$B$3</f>
        <v>29.819999999999993</v>
      </c>
      <c r="R2">
        <f>IF(Q2-N2&lt;=0, 0, Q2-N2)</f>
        <v>17.749999999999993</v>
      </c>
      <c r="S2">
        <f>I2-P2</f>
        <v>13.85</v>
      </c>
      <c r="T2">
        <f>S2*Constants!$B$2</f>
        <v>38.779999999999994</v>
      </c>
      <c r="V2">
        <f>IF(B2="E",1,0)</f>
        <v>0</v>
      </c>
      <c r="W2">
        <f>IF(B2=10,1,0)</f>
        <v>0</v>
      </c>
      <c r="AA2" s="8"/>
      <c r="AJ2" s="4"/>
    </row>
    <row r="3" spans="1:40" x14ac:dyDescent="0.25">
      <c r="A3">
        <v>2</v>
      </c>
      <c r="B3">
        <v>9</v>
      </c>
      <c r="C3" t="s">
        <v>64</v>
      </c>
      <c r="D3" s="16" t="s">
        <v>326</v>
      </c>
      <c r="F3">
        <f>1.51+1.61</f>
        <v>3.12</v>
      </c>
      <c r="G3">
        <v>270</v>
      </c>
      <c r="H3">
        <v>2.4</v>
      </c>
      <c r="I3">
        <f>5.21+5.01-1.4</f>
        <v>8.8199999999999985</v>
      </c>
      <c r="L3">
        <f>Constants!$B$2</f>
        <v>2.8</v>
      </c>
      <c r="M3">
        <f t="shared" si="0"/>
        <v>270</v>
      </c>
      <c r="N3">
        <f>P3*Constants!$E$2</f>
        <v>4.08</v>
      </c>
      <c r="P3">
        <f t="shared" ref="P3:P18" si="1">H3</f>
        <v>2.4</v>
      </c>
      <c r="Q3">
        <f>P3*Constants!$B$3</f>
        <v>10.079999999999998</v>
      </c>
      <c r="R3">
        <f t="shared" ref="R3:R19" si="2">IF(Q3-N3&lt;=0, 0, Q3-N3)</f>
        <v>5.9999999999999982</v>
      </c>
      <c r="S3">
        <f t="shared" ref="S3:S18" si="3">I3-P3</f>
        <v>6.4199999999999982</v>
      </c>
      <c r="T3">
        <f>S3*Constants!$B$2</f>
        <v>17.975999999999992</v>
      </c>
      <c r="V3">
        <f t="shared" ref="V3:V18" si="4">IF(B3="E",1,0)</f>
        <v>0</v>
      </c>
      <c r="W3">
        <f t="shared" ref="W3:W18" si="5">IF(B3=10,1,0)</f>
        <v>0</v>
      </c>
      <c r="AA3" s="8"/>
      <c r="AJ3" s="4"/>
    </row>
    <row r="4" spans="1:40" x14ac:dyDescent="0.25">
      <c r="A4">
        <v>3</v>
      </c>
      <c r="B4">
        <v>9</v>
      </c>
      <c r="C4" t="s">
        <v>64</v>
      </c>
      <c r="D4" s="16" t="s">
        <v>327</v>
      </c>
      <c r="F4">
        <f>1.47+1.58</f>
        <v>3.05</v>
      </c>
      <c r="G4" t="s">
        <v>44</v>
      </c>
      <c r="H4">
        <v>0</v>
      </c>
      <c r="I4">
        <f>5.21+5.01-1.4</f>
        <v>8.8199999999999985</v>
      </c>
      <c r="L4">
        <f>Constants!$B$2</f>
        <v>2.8</v>
      </c>
      <c r="M4" t="str">
        <f t="shared" si="0"/>
        <v>N/A</v>
      </c>
      <c r="N4">
        <f>P4*Constants!$E$2</f>
        <v>0</v>
      </c>
      <c r="P4">
        <f t="shared" si="1"/>
        <v>0</v>
      </c>
      <c r="Q4">
        <f>P4*Constants!$B$3</f>
        <v>0</v>
      </c>
      <c r="R4">
        <f t="shared" si="2"/>
        <v>0</v>
      </c>
      <c r="S4">
        <f t="shared" si="3"/>
        <v>8.8199999999999985</v>
      </c>
      <c r="T4">
        <f>S4*Constants!$B$2</f>
        <v>24.695999999999994</v>
      </c>
      <c r="V4">
        <f t="shared" si="4"/>
        <v>0</v>
      </c>
      <c r="W4">
        <f t="shared" si="5"/>
        <v>0</v>
      </c>
      <c r="AA4" s="8"/>
      <c r="AJ4" s="4"/>
    </row>
    <row r="5" spans="1:40" x14ac:dyDescent="0.25">
      <c r="A5">
        <v>4</v>
      </c>
      <c r="B5">
        <v>9</v>
      </c>
      <c r="C5" t="s">
        <v>64</v>
      </c>
      <c r="D5" s="16" t="s">
        <v>328</v>
      </c>
      <c r="F5">
        <v>5.32</v>
      </c>
      <c r="G5" t="s">
        <v>44</v>
      </c>
      <c r="H5">
        <v>0</v>
      </c>
      <c r="I5">
        <v>9.4499999999999993</v>
      </c>
      <c r="L5">
        <f>Constants!$B$2</f>
        <v>2.8</v>
      </c>
      <c r="M5" t="str">
        <f t="shared" si="0"/>
        <v>N/A</v>
      </c>
      <c r="N5">
        <f>P5*Constants!$E$2</f>
        <v>0</v>
      </c>
      <c r="P5">
        <f t="shared" si="1"/>
        <v>0</v>
      </c>
      <c r="Q5">
        <f>P5*Constants!$B$3</f>
        <v>0</v>
      </c>
      <c r="R5">
        <f t="shared" si="2"/>
        <v>0</v>
      </c>
      <c r="S5">
        <f t="shared" si="3"/>
        <v>9.4499999999999993</v>
      </c>
      <c r="T5">
        <f>S5*Constants!$B$2</f>
        <v>26.459999999999997</v>
      </c>
      <c r="V5">
        <f t="shared" si="4"/>
        <v>0</v>
      </c>
      <c r="W5">
        <f t="shared" si="5"/>
        <v>0</v>
      </c>
      <c r="AA5" s="8"/>
      <c r="AJ5" s="4"/>
    </row>
    <row r="6" spans="1:40" x14ac:dyDescent="0.25">
      <c r="A6">
        <v>5</v>
      </c>
      <c r="B6">
        <v>9</v>
      </c>
      <c r="C6" t="s">
        <v>55</v>
      </c>
      <c r="D6" s="16" t="s">
        <v>329</v>
      </c>
      <c r="F6">
        <v>1.67</v>
      </c>
      <c r="G6" t="s">
        <v>44</v>
      </c>
      <c r="H6">
        <v>0</v>
      </c>
      <c r="I6">
        <v>5.27</v>
      </c>
      <c r="L6">
        <f>Constants!$B$2</f>
        <v>2.8</v>
      </c>
      <c r="M6" t="str">
        <f t="shared" si="0"/>
        <v>N/A</v>
      </c>
      <c r="N6">
        <f>P6*Constants!$E$2</f>
        <v>0</v>
      </c>
      <c r="P6">
        <f t="shared" si="1"/>
        <v>0</v>
      </c>
      <c r="Q6">
        <f>P6*Constants!$B$3</f>
        <v>0</v>
      </c>
      <c r="R6">
        <f t="shared" si="2"/>
        <v>0</v>
      </c>
      <c r="S6">
        <f t="shared" si="3"/>
        <v>5.27</v>
      </c>
      <c r="T6">
        <f>S6*Constants!$B$2</f>
        <v>14.755999999999998</v>
      </c>
      <c r="V6">
        <f t="shared" si="4"/>
        <v>0</v>
      </c>
      <c r="W6">
        <f t="shared" si="5"/>
        <v>0</v>
      </c>
      <c r="AA6" s="8"/>
      <c r="AJ6" s="4"/>
    </row>
    <row r="7" spans="1:40" x14ac:dyDescent="0.25">
      <c r="A7">
        <v>6</v>
      </c>
      <c r="B7">
        <v>9</v>
      </c>
      <c r="C7" t="s">
        <v>50</v>
      </c>
      <c r="D7" s="16" t="s">
        <v>330</v>
      </c>
      <c r="F7">
        <v>6.66</v>
      </c>
      <c r="G7" t="s">
        <v>44</v>
      </c>
      <c r="H7">
        <v>0</v>
      </c>
      <c r="I7">
        <v>11.15</v>
      </c>
      <c r="L7">
        <f>Constants!$B$2</f>
        <v>2.8</v>
      </c>
      <c r="M7" t="str">
        <f t="shared" si="0"/>
        <v>N/A</v>
      </c>
      <c r="N7">
        <f>P7*Constants!$E$2</f>
        <v>0</v>
      </c>
      <c r="P7">
        <f t="shared" si="1"/>
        <v>0</v>
      </c>
      <c r="Q7">
        <f>P7*Constants!$B$3</f>
        <v>0</v>
      </c>
      <c r="R7">
        <f t="shared" si="2"/>
        <v>0</v>
      </c>
      <c r="S7">
        <f t="shared" si="3"/>
        <v>11.15</v>
      </c>
      <c r="T7">
        <f>S7*Constants!$B$2</f>
        <v>31.22</v>
      </c>
      <c r="V7">
        <f t="shared" si="4"/>
        <v>0</v>
      </c>
      <c r="W7">
        <f t="shared" si="5"/>
        <v>0</v>
      </c>
      <c r="AA7" s="8"/>
      <c r="AJ7" s="4"/>
    </row>
    <row r="8" spans="1:40" x14ac:dyDescent="0.25">
      <c r="A8">
        <v>7</v>
      </c>
      <c r="B8">
        <v>9</v>
      </c>
      <c r="C8" t="s">
        <v>55</v>
      </c>
      <c r="D8" s="16" t="s">
        <v>331</v>
      </c>
      <c r="E8" s="16"/>
      <c r="F8">
        <v>1.67</v>
      </c>
      <c r="G8" t="s">
        <v>44</v>
      </c>
      <c r="H8">
        <v>0</v>
      </c>
      <c r="I8">
        <v>5.34</v>
      </c>
      <c r="L8">
        <f>Constants!$B$2</f>
        <v>2.8</v>
      </c>
      <c r="M8" t="str">
        <f t="shared" si="0"/>
        <v>N/A</v>
      </c>
      <c r="N8">
        <f>P8*Constants!$E$2</f>
        <v>0</v>
      </c>
      <c r="P8">
        <f t="shared" ref="P8:P15" si="6">H8</f>
        <v>0</v>
      </c>
      <c r="Q8">
        <f>P8*Constants!$B$3</f>
        <v>0</v>
      </c>
      <c r="R8">
        <f t="shared" si="2"/>
        <v>0</v>
      </c>
      <c r="S8">
        <f t="shared" ref="S8:S15" si="7">I8-P8</f>
        <v>5.34</v>
      </c>
      <c r="T8">
        <f>S8*Constants!$B$2</f>
        <v>14.951999999999998</v>
      </c>
      <c r="V8">
        <f t="shared" si="4"/>
        <v>0</v>
      </c>
      <c r="W8">
        <f t="shared" si="5"/>
        <v>0</v>
      </c>
      <c r="AA8" s="8"/>
      <c r="AJ8" s="4"/>
    </row>
    <row r="9" spans="1:40" x14ac:dyDescent="0.25">
      <c r="A9">
        <v>8</v>
      </c>
      <c r="B9">
        <v>9</v>
      </c>
      <c r="C9" t="s">
        <v>54</v>
      </c>
      <c r="D9" s="16" t="s">
        <v>332</v>
      </c>
      <c r="F9">
        <v>18.100000000000001</v>
      </c>
      <c r="G9">
        <v>180</v>
      </c>
      <c r="H9">
        <f>1.2*3</f>
        <v>3.5999999999999996</v>
      </c>
      <c r="I9">
        <v>19.12</v>
      </c>
      <c r="L9">
        <f>Constants!$B$2</f>
        <v>2.8</v>
      </c>
      <c r="M9">
        <f t="shared" si="0"/>
        <v>180</v>
      </c>
      <c r="N9">
        <f>P9*Constants!$E$2</f>
        <v>6.1199999999999992</v>
      </c>
      <c r="P9">
        <f t="shared" si="6"/>
        <v>3.5999999999999996</v>
      </c>
      <c r="Q9">
        <f>P9*Constants!$B$3</f>
        <v>15.119999999999996</v>
      </c>
      <c r="R9">
        <f t="shared" si="2"/>
        <v>8.9999999999999964</v>
      </c>
      <c r="S9">
        <f t="shared" si="7"/>
        <v>15.520000000000001</v>
      </c>
      <c r="T9">
        <f>S9*Constants!$B$2</f>
        <v>43.456000000000003</v>
      </c>
      <c r="V9">
        <f t="shared" si="4"/>
        <v>0</v>
      </c>
      <c r="W9">
        <f t="shared" si="5"/>
        <v>0</v>
      </c>
      <c r="AA9" s="8"/>
      <c r="AJ9" s="4"/>
    </row>
    <row r="10" spans="1:40" x14ac:dyDescent="0.25">
      <c r="A10">
        <v>9</v>
      </c>
      <c r="B10">
        <v>9</v>
      </c>
      <c r="C10" t="s">
        <v>67</v>
      </c>
      <c r="D10" s="16" t="s">
        <v>333</v>
      </c>
      <c r="F10">
        <v>15.46</v>
      </c>
      <c r="G10">
        <v>180</v>
      </c>
      <c r="H10">
        <v>3.6</v>
      </c>
      <c r="I10">
        <v>17.399999999999999</v>
      </c>
      <c r="L10">
        <f>Constants!$B$2</f>
        <v>2.8</v>
      </c>
      <c r="M10">
        <f t="shared" ref="M10" si="8">IF(N10&gt;0,G10,"N/A")</f>
        <v>180</v>
      </c>
      <c r="N10">
        <f>P10*Constants!$E$2</f>
        <v>6.12</v>
      </c>
      <c r="P10">
        <f t="shared" si="6"/>
        <v>3.6</v>
      </c>
      <c r="Q10">
        <f>P10*Constants!$B$3</f>
        <v>15.119999999999997</v>
      </c>
      <c r="R10">
        <f t="shared" ref="R10" si="9">IF(Q10-N10&lt;=0, 0, Q10-N10)</f>
        <v>8.9999999999999964</v>
      </c>
      <c r="S10">
        <f t="shared" si="7"/>
        <v>13.799999999999999</v>
      </c>
      <c r="T10">
        <f>S10*Constants!$B$2</f>
        <v>38.639999999999993</v>
      </c>
      <c r="V10">
        <f t="shared" ref="V10" si="10">IF(B10="E",1,0)</f>
        <v>0</v>
      </c>
      <c r="W10">
        <f t="shared" ref="W10" si="11">IF(B10=10,1,0)</f>
        <v>0</v>
      </c>
      <c r="AA10" s="8"/>
      <c r="AJ10" s="4"/>
    </row>
    <row r="11" spans="1:40" x14ac:dyDescent="0.25">
      <c r="A11">
        <v>10</v>
      </c>
      <c r="B11">
        <v>9</v>
      </c>
      <c r="C11" t="s">
        <v>62</v>
      </c>
      <c r="D11" s="16" t="s">
        <v>334</v>
      </c>
      <c r="F11">
        <v>20.57</v>
      </c>
      <c r="G11">
        <v>180</v>
      </c>
      <c r="H11">
        <v>3.6</v>
      </c>
      <c r="I11">
        <f>2*(6.4+3.6)</f>
        <v>20</v>
      </c>
      <c r="L11">
        <f>Constants!$B$2</f>
        <v>2.8</v>
      </c>
      <c r="M11">
        <f t="shared" si="0"/>
        <v>180</v>
      </c>
      <c r="N11">
        <f>P11*Constants!$E$2</f>
        <v>6.12</v>
      </c>
      <c r="P11">
        <f t="shared" si="6"/>
        <v>3.6</v>
      </c>
      <c r="Q11">
        <f>P11*Constants!$B$3</f>
        <v>15.119999999999997</v>
      </c>
      <c r="R11">
        <f t="shared" si="2"/>
        <v>8.9999999999999964</v>
      </c>
      <c r="S11">
        <f t="shared" si="7"/>
        <v>16.399999999999999</v>
      </c>
      <c r="T11">
        <f>S11*Constants!$B$2</f>
        <v>45.919999999999995</v>
      </c>
      <c r="V11">
        <f t="shared" si="4"/>
        <v>0</v>
      </c>
      <c r="W11">
        <f t="shared" si="5"/>
        <v>0</v>
      </c>
      <c r="AA11" s="8"/>
      <c r="AJ11" s="4"/>
    </row>
    <row r="12" spans="1:40" x14ac:dyDescent="0.25">
      <c r="A12">
        <v>11</v>
      </c>
      <c r="B12">
        <v>9</v>
      </c>
      <c r="C12" t="s">
        <v>62</v>
      </c>
      <c r="D12" s="16" t="s">
        <v>335</v>
      </c>
      <c r="F12">
        <v>51.16</v>
      </c>
      <c r="G12">
        <v>180</v>
      </c>
      <c r="H12">
        <v>7.1</v>
      </c>
      <c r="I12">
        <f>2*(10.6+5.3)</f>
        <v>31.799999999999997</v>
      </c>
      <c r="L12">
        <f>Constants!$B$2</f>
        <v>2.8</v>
      </c>
      <c r="M12">
        <f t="shared" si="0"/>
        <v>180</v>
      </c>
      <c r="N12">
        <f>P12*Constants!$E$2</f>
        <v>12.069999999999999</v>
      </c>
      <c r="P12">
        <f t="shared" si="6"/>
        <v>7.1</v>
      </c>
      <c r="Q12">
        <f>P12*Constants!$B$3</f>
        <v>29.819999999999993</v>
      </c>
      <c r="R12">
        <f t="shared" si="2"/>
        <v>17.749999999999993</v>
      </c>
      <c r="S12">
        <f t="shared" si="7"/>
        <v>24.699999999999996</v>
      </c>
      <c r="T12">
        <f>S12*Constants!$B$2</f>
        <v>69.159999999999982</v>
      </c>
      <c r="V12">
        <f t="shared" si="4"/>
        <v>0</v>
      </c>
      <c r="W12">
        <f t="shared" si="5"/>
        <v>0</v>
      </c>
      <c r="AA12" s="8"/>
      <c r="AJ12" s="4"/>
    </row>
    <row r="13" spans="1:40" x14ac:dyDescent="0.25">
      <c r="A13">
        <v>12</v>
      </c>
      <c r="B13">
        <v>9</v>
      </c>
      <c r="C13" t="s">
        <v>55</v>
      </c>
      <c r="D13" s="16" t="s">
        <v>336</v>
      </c>
      <c r="F13">
        <v>1.67</v>
      </c>
      <c r="G13" t="s">
        <v>44</v>
      </c>
      <c r="H13">
        <v>0</v>
      </c>
      <c r="I13">
        <v>5.34</v>
      </c>
      <c r="L13">
        <f>Constants!$B$2</f>
        <v>2.8</v>
      </c>
      <c r="M13" t="str">
        <f t="shared" si="0"/>
        <v>N/A</v>
      </c>
      <c r="N13">
        <f>P13*Constants!$E$2</f>
        <v>0</v>
      </c>
      <c r="P13">
        <f t="shared" si="6"/>
        <v>0</v>
      </c>
      <c r="Q13">
        <f>P13*Constants!$B$3</f>
        <v>0</v>
      </c>
      <c r="R13">
        <f t="shared" si="2"/>
        <v>0</v>
      </c>
      <c r="S13">
        <f t="shared" si="7"/>
        <v>5.34</v>
      </c>
      <c r="T13">
        <f>S13*Constants!$B$2</f>
        <v>14.951999999999998</v>
      </c>
      <c r="V13">
        <f t="shared" si="4"/>
        <v>0</v>
      </c>
      <c r="W13">
        <f t="shared" si="5"/>
        <v>0</v>
      </c>
      <c r="AA13" s="8"/>
      <c r="AJ13" s="4"/>
    </row>
    <row r="14" spans="1:40" x14ac:dyDescent="0.25">
      <c r="A14">
        <v>13</v>
      </c>
      <c r="B14">
        <v>9</v>
      </c>
      <c r="C14" t="s">
        <v>50</v>
      </c>
      <c r="D14" s="16" t="s">
        <v>337</v>
      </c>
      <c r="E14" s="16"/>
      <c r="F14">
        <v>6.68</v>
      </c>
      <c r="G14" t="s">
        <v>44</v>
      </c>
      <c r="H14">
        <v>0</v>
      </c>
      <c r="I14">
        <v>11.15</v>
      </c>
      <c r="L14">
        <f>Constants!$B$2</f>
        <v>2.8</v>
      </c>
      <c r="M14" t="str">
        <f t="shared" si="0"/>
        <v>N/A</v>
      </c>
      <c r="N14">
        <f>P14*Constants!$E$2</f>
        <v>0</v>
      </c>
      <c r="P14">
        <f t="shared" si="6"/>
        <v>0</v>
      </c>
      <c r="Q14">
        <f>P14*Constants!$B$3</f>
        <v>0</v>
      </c>
      <c r="R14">
        <f t="shared" si="2"/>
        <v>0</v>
      </c>
      <c r="S14">
        <f t="shared" si="7"/>
        <v>11.15</v>
      </c>
      <c r="T14">
        <f>S14*Constants!$B$2</f>
        <v>31.22</v>
      </c>
      <c r="V14">
        <f t="shared" si="4"/>
        <v>0</v>
      </c>
      <c r="W14">
        <f t="shared" si="5"/>
        <v>0</v>
      </c>
      <c r="AA14" s="8"/>
      <c r="AJ14" s="4"/>
    </row>
    <row r="15" spans="1:40" x14ac:dyDescent="0.25">
      <c r="A15">
        <v>14</v>
      </c>
      <c r="B15">
        <v>9</v>
      </c>
      <c r="C15" t="s">
        <v>54</v>
      </c>
      <c r="D15" s="16" t="s">
        <v>338</v>
      </c>
      <c r="F15">
        <v>16.52</v>
      </c>
      <c r="G15" t="s">
        <v>44</v>
      </c>
      <c r="H15">
        <v>0</v>
      </c>
      <c r="I15">
        <v>16.920000000000002</v>
      </c>
      <c r="L15">
        <f>Constants!$B$2</f>
        <v>2.8</v>
      </c>
      <c r="M15" t="str">
        <f t="shared" si="0"/>
        <v>N/A</v>
      </c>
      <c r="N15">
        <f>P15*Constants!$E$2</f>
        <v>0</v>
      </c>
      <c r="P15">
        <f t="shared" si="6"/>
        <v>0</v>
      </c>
      <c r="Q15">
        <f>P15*Constants!$B$3</f>
        <v>0</v>
      </c>
      <c r="R15">
        <f t="shared" si="2"/>
        <v>0</v>
      </c>
      <c r="S15">
        <f t="shared" si="7"/>
        <v>16.920000000000002</v>
      </c>
      <c r="T15">
        <f>S15*Constants!$B$2</f>
        <v>47.376000000000005</v>
      </c>
      <c r="V15">
        <f t="shared" si="4"/>
        <v>0</v>
      </c>
      <c r="W15">
        <f t="shared" si="5"/>
        <v>0</v>
      </c>
      <c r="AA15" s="8"/>
      <c r="AJ15" s="4"/>
    </row>
    <row r="16" spans="1:40" x14ac:dyDescent="0.25">
      <c r="A16">
        <v>15</v>
      </c>
      <c r="B16">
        <v>9</v>
      </c>
      <c r="C16" t="s">
        <v>67</v>
      </c>
      <c r="D16" s="16" t="s">
        <v>342</v>
      </c>
      <c r="E16" s="16" t="s">
        <v>338</v>
      </c>
      <c r="F16">
        <v>15.46</v>
      </c>
      <c r="G16" t="s">
        <v>44</v>
      </c>
      <c r="H16">
        <v>0</v>
      </c>
      <c r="I16">
        <v>17.399999999999999</v>
      </c>
      <c r="L16">
        <f>Constants!$B$2</f>
        <v>2.8</v>
      </c>
      <c r="M16" t="str">
        <f t="shared" ref="M16" si="12">IF(N16&gt;0,G16,"N/A")</f>
        <v>N/A</v>
      </c>
      <c r="N16">
        <f>P16*Constants!$E$2</f>
        <v>0</v>
      </c>
      <c r="P16">
        <f t="shared" ref="P16" si="13">H16</f>
        <v>0</v>
      </c>
      <c r="Q16">
        <f>P16*Constants!$B$3</f>
        <v>0</v>
      </c>
      <c r="R16">
        <f t="shared" ref="R16" si="14">IF(Q16-N16&lt;=0, 0, Q16-N16)</f>
        <v>0</v>
      </c>
      <c r="S16">
        <f t="shared" ref="S16" si="15">I16-P16</f>
        <v>17.399999999999999</v>
      </c>
      <c r="T16">
        <f>S16*Constants!$B$2</f>
        <v>48.719999999999992</v>
      </c>
      <c r="V16">
        <f t="shared" ref="V16" si="16">IF(B16="E",1,0)</f>
        <v>0</v>
      </c>
      <c r="W16">
        <f t="shared" ref="W16" si="17">IF(B16=10,1,0)</f>
        <v>0</v>
      </c>
      <c r="AA16" s="8"/>
      <c r="AJ16" s="4"/>
    </row>
    <row r="17" spans="1:36" x14ac:dyDescent="0.25">
      <c r="A17">
        <v>16</v>
      </c>
      <c r="B17">
        <v>9</v>
      </c>
      <c r="C17" t="s">
        <v>54</v>
      </c>
      <c r="D17" s="16" t="s">
        <v>339</v>
      </c>
      <c r="E17" s="16"/>
      <c r="F17">
        <v>25.99</v>
      </c>
      <c r="G17">
        <v>90</v>
      </c>
      <c r="H17">
        <v>3.6</v>
      </c>
      <c r="I17">
        <v>21.89</v>
      </c>
      <c r="L17">
        <f>Constants!$B$2</f>
        <v>2.8</v>
      </c>
      <c r="M17">
        <f t="shared" ref="M17" si="18">IF(N17&gt;0,G17,"N/A")</f>
        <v>90</v>
      </c>
      <c r="N17">
        <f>P17*Constants!$E$2</f>
        <v>6.12</v>
      </c>
      <c r="P17">
        <f t="shared" ref="P17" si="19">H17</f>
        <v>3.6</v>
      </c>
      <c r="Q17">
        <f>P17*Constants!$B$3</f>
        <v>15.119999999999997</v>
      </c>
      <c r="R17">
        <f t="shared" ref="R17" si="20">IF(Q17-N17&lt;=0, 0, Q17-N17)</f>
        <v>8.9999999999999964</v>
      </c>
      <c r="S17">
        <f t="shared" ref="S17" si="21">I17-P17</f>
        <v>18.29</v>
      </c>
      <c r="T17">
        <f>S17*Constants!$B$2</f>
        <v>51.211999999999996</v>
      </c>
      <c r="V17">
        <f t="shared" ref="V17" si="22">IF(B17="E",1,0)</f>
        <v>0</v>
      </c>
      <c r="W17">
        <f t="shared" ref="W17" si="23">IF(B17=10,1,0)</f>
        <v>0</v>
      </c>
      <c r="AA17" s="8"/>
      <c r="AJ17" s="4"/>
    </row>
    <row r="18" spans="1:36" x14ac:dyDescent="0.25">
      <c r="A18">
        <v>17</v>
      </c>
      <c r="B18">
        <v>9</v>
      </c>
      <c r="C18" t="s">
        <v>62</v>
      </c>
      <c r="D18" s="16" t="s">
        <v>340</v>
      </c>
      <c r="F18">
        <v>20.57</v>
      </c>
      <c r="G18">
        <v>180</v>
      </c>
      <c r="H18">
        <v>4</v>
      </c>
      <c r="I18">
        <f>2*(5.6+4)</f>
        <v>19.2</v>
      </c>
      <c r="L18">
        <f>Constants!$B$2</f>
        <v>2.8</v>
      </c>
      <c r="M18">
        <f t="shared" si="0"/>
        <v>180</v>
      </c>
      <c r="N18">
        <f>P18*Constants!$E$2</f>
        <v>6.8</v>
      </c>
      <c r="P18">
        <f t="shared" si="1"/>
        <v>4</v>
      </c>
      <c r="Q18">
        <f>P18*Constants!$B$3</f>
        <v>16.799999999999997</v>
      </c>
      <c r="R18">
        <f t="shared" si="2"/>
        <v>9.9999999999999964</v>
      </c>
      <c r="S18">
        <f t="shared" si="3"/>
        <v>15.2</v>
      </c>
      <c r="T18">
        <f>S18*Constants!$B$2</f>
        <v>42.559999999999995</v>
      </c>
      <c r="V18">
        <f t="shared" si="4"/>
        <v>0</v>
      </c>
      <c r="W18">
        <f t="shared" si="5"/>
        <v>0</v>
      </c>
      <c r="AA18" s="8"/>
      <c r="AJ18" s="4"/>
    </row>
    <row r="19" spans="1:36" x14ac:dyDescent="0.25">
      <c r="A19">
        <v>18</v>
      </c>
      <c r="B19">
        <v>9</v>
      </c>
      <c r="C19" t="s">
        <v>62</v>
      </c>
      <c r="D19" s="16" t="s">
        <v>341</v>
      </c>
      <c r="E19" s="16"/>
      <c r="F19">
        <f>79.3*2.4</f>
        <v>190.32</v>
      </c>
      <c r="G19">
        <v>0</v>
      </c>
      <c r="H19">
        <f>17.5+10.3+2.4+6.6</f>
        <v>36.799999999999997</v>
      </c>
      <c r="I19">
        <f>2*(79.3+2.4)</f>
        <v>163.4</v>
      </c>
      <c r="L19">
        <f>Constants!$B$2</f>
        <v>2.8</v>
      </c>
      <c r="M19">
        <f t="shared" si="0"/>
        <v>0</v>
      </c>
      <c r="N19">
        <f>P19*Constants!$E$2</f>
        <v>62.559999999999995</v>
      </c>
      <c r="P19">
        <f>H19</f>
        <v>36.799999999999997</v>
      </c>
      <c r="Q19">
        <f>P19*Constants!$B$3</f>
        <v>154.55999999999997</v>
      </c>
      <c r="R19">
        <f t="shared" si="2"/>
        <v>91.999999999999972</v>
      </c>
      <c r="S19">
        <f>I19-P19</f>
        <v>126.60000000000001</v>
      </c>
      <c r="T19">
        <f>S19*Constants!$B$2</f>
        <v>354.48</v>
      </c>
      <c r="V19">
        <f t="shared" ref="V19" si="24">IF(B19="E",1,0)</f>
        <v>0</v>
      </c>
      <c r="W19">
        <f t="shared" ref="W19" si="25">IF(B19=10,1,0)</f>
        <v>0</v>
      </c>
      <c r="AA19" s="8"/>
      <c r="AJ19" s="4"/>
    </row>
    <row r="20" spans="1:36" x14ac:dyDescent="0.25">
      <c r="D20" s="15"/>
    </row>
    <row r="21" spans="1:36" x14ac:dyDescent="0.25">
      <c r="D21" s="15"/>
    </row>
    <row r="22" spans="1:36" x14ac:dyDescent="0.25">
      <c r="D22" s="15"/>
    </row>
    <row r="23" spans="1:36" x14ac:dyDescent="0.25">
      <c r="D23" s="15"/>
    </row>
    <row r="24" spans="1:36" x14ac:dyDescent="0.25">
      <c r="D24" s="15"/>
    </row>
    <row r="25" spans="1:36" x14ac:dyDescent="0.25">
      <c r="D25" s="15"/>
    </row>
    <row r="26" spans="1:36" x14ac:dyDescent="0.25">
      <c r="D26" s="15"/>
    </row>
    <row r="27" spans="1:36" x14ac:dyDescent="0.25">
      <c r="D27" s="15"/>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4"/>
    </row>
    <row r="430" spans="4:4" x14ac:dyDescent="0.25">
      <c r="D430" s="14"/>
    </row>
    <row r="431" spans="4:4" x14ac:dyDescent="0.25">
      <c r="D431" s="13"/>
    </row>
    <row r="432" spans="4:4" x14ac:dyDescent="0.25">
      <c r="D432" s="13"/>
    </row>
    <row r="433" spans="4:4" x14ac:dyDescent="0.25">
      <c r="D433" s="13"/>
    </row>
    <row r="434" spans="4:4" x14ac:dyDescent="0.25">
      <c r="D434" s="13"/>
    </row>
    <row r="435" spans="4:4" x14ac:dyDescent="0.25">
      <c r="D435" s="13"/>
    </row>
    <row r="436" spans="4:4" x14ac:dyDescent="0.25">
      <c r="D436" s="13"/>
    </row>
    <row r="437" spans="4:4" x14ac:dyDescent="0.25">
      <c r="D437" s="13"/>
    </row>
    <row r="438" spans="4:4" x14ac:dyDescent="0.25">
      <c r="D438" s="13"/>
    </row>
  </sheetData>
  <phoneticPr fontId="5" type="noConversion"/>
  <pageMargins left="0.7" right="0.7" top="0.78740157499999996" bottom="0.78740157499999996"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31"/>
  <sheetViews>
    <sheetView zoomScaleNormal="100" workbookViewId="0">
      <pane xSplit="4" ySplit="1" topLeftCell="H2" activePane="bottomRight" state="frozen"/>
      <selection pane="topRight" activeCell="F1" sqref="F1"/>
      <selection pane="bottomLeft" activeCell="A2" sqref="A2"/>
      <selection pane="bottomRight" activeCell="C17" sqref="C17"/>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62</v>
      </c>
      <c r="D2" s="16" t="s">
        <v>343</v>
      </c>
      <c r="E2" s="16"/>
      <c r="F2">
        <f>169.12*2.83</f>
        <v>478.6096</v>
      </c>
      <c r="G2">
        <v>0</v>
      </c>
      <c r="H2">
        <f>17.3+23.7+3.1+2.4</f>
        <v>46.5</v>
      </c>
      <c r="I2">
        <f>2*(169.12+2.83)</f>
        <v>343.90000000000003</v>
      </c>
      <c r="L2">
        <f>Constants!$B$2</f>
        <v>2.8</v>
      </c>
      <c r="M2">
        <f t="shared" ref="M2:M16" si="0">IF(N2&gt;0,G2,"N/A")</f>
        <v>0</v>
      </c>
      <c r="N2">
        <f>P2*Constants!$E$2</f>
        <v>79.05</v>
      </c>
      <c r="P2">
        <f>H2</f>
        <v>46.5</v>
      </c>
      <c r="Q2">
        <f>P2*Constants!$B$3</f>
        <v>195.29999999999995</v>
      </c>
      <c r="R2">
        <f>IF(Q2-N2&lt;=0, 0, Q2-N2)</f>
        <v>116.24999999999996</v>
      </c>
      <c r="S2">
        <f>I2-P2</f>
        <v>297.40000000000003</v>
      </c>
      <c r="T2">
        <f>S2*Constants!$B$2</f>
        <v>832.72</v>
      </c>
      <c r="V2">
        <f>IF(B2="E",1,0)</f>
        <v>0</v>
      </c>
      <c r="W2">
        <f>IF(B2=10,1,0)</f>
        <v>0</v>
      </c>
      <c r="AA2" s="8"/>
      <c r="AJ2" s="4"/>
    </row>
    <row r="3" spans="1:40" x14ac:dyDescent="0.25">
      <c r="A3">
        <v>2</v>
      </c>
      <c r="B3">
        <v>9</v>
      </c>
      <c r="C3" t="s">
        <v>54</v>
      </c>
      <c r="D3" s="16" t="s">
        <v>344</v>
      </c>
      <c r="F3">
        <v>15.95</v>
      </c>
      <c r="G3">
        <v>180</v>
      </c>
      <c r="H3">
        <v>3.6</v>
      </c>
      <c r="I3">
        <f>2*1.2*(4.2+3)</f>
        <v>17.28</v>
      </c>
      <c r="L3">
        <f>Constants!$B$2</f>
        <v>2.8</v>
      </c>
      <c r="M3">
        <f t="shared" si="0"/>
        <v>180</v>
      </c>
      <c r="N3">
        <f>P3*Constants!$E$2</f>
        <v>6.12</v>
      </c>
      <c r="P3">
        <f t="shared" ref="P3:P15" si="1">H3</f>
        <v>3.6</v>
      </c>
      <c r="Q3">
        <f>P3*Constants!$B$3</f>
        <v>15.119999999999997</v>
      </c>
      <c r="R3">
        <f t="shared" ref="R3:R16" si="2">IF(Q3-N3&lt;=0, 0, Q3-N3)</f>
        <v>8.9999999999999964</v>
      </c>
      <c r="S3">
        <f t="shared" ref="S3:S15" si="3">I3-P3</f>
        <v>13.680000000000001</v>
      </c>
      <c r="T3">
        <f>S3*Constants!$B$2</f>
        <v>38.304000000000002</v>
      </c>
      <c r="V3">
        <f t="shared" ref="V3:V16" si="4">IF(B3="E",1,0)</f>
        <v>0</v>
      </c>
      <c r="W3">
        <f t="shared" ref="W3:W16" si="5">IF(B3=10,1,0)</f>
        <v>0</v>
      </c>
      <c r="AA3" s="8"/>
      <c r="AJ3" s="4"/>
    </row>
    <row r="4" spans="1:40" x14ac:dyDescent="0.25">
      <c r="A4">
        <v>3</v>
      </c>
      <c r="B4">
        <v>9</v>
      </c>
      <c r="C4" t="s">
        <v>54</v>
      </c>
      <c r="D4" s="16" t="s">
        <v>345</v>
      </c>
      <c r="F4">
        <v>26.44</v>
      </c>
      <c r="G4">
        <v>180</v>
      </c>
      <c r="H4">
        <v>3</v>
      </c>
      <c r="I4">
        <f>2*1.2*(4.5+5)</f>
        <v>22.8</v>
      </c>
      <c r="L4">
        <f>Constants!$B$2</f>
        <v>2.8</v>
      </c>
      <c r="M4">
        <f t="shared" si="0"/>
        <v>180</v>
      </c>
      <c r="N4">
        <f>P4*Constants!$E$2</f>
        <v>5.0999999999999996</v>
      </c>
      <c r="P4">
        <f t="shared" si="1"/>
        <v>3</v>
      </c>
      <c r="Q4">
        <f>P4*Constants!$B$3</f>
        <v>12.599999999999998</v>
      </c>
      <c r="R4">
        <f t="shared" si="2"/>
        <v>7.4999999999999982</v>
      </c>
      <c r="S4">
        <f t="shared" si="3"/>
        <v>19.8</v>
      </c>
      <c r="T4">
        <f>S4*Constants!$B$2</f>
        <v>55.44</v>
      </c>
      <c r="V4">
        <f t="shared" si="4"/>
        <v>0</v>
      </c>
      <c r="W4">
        <f t="shared" si="5"/>
        <v>0</v>
      </c>
      <c r="AA4" s="8"/>
      <c r="AJ4" s="4"/>
    </row>
    <row r="5" spans="1:40" x14ac:dyDescent="0.25">
      <c r="A5">
        <v>4</v>
      </c>
      <c r="B5">
        <v>9</v>
      </c>
      <c r="C5" t="s">
        <v>66</v>
      </c>
      <c r="D5" s="16" t="s">
        <v>346</v>
      </c>
      <c r="F5">
        <v>12.23</v>
      </c>
      <c r="G5" t="s">
        <v>44</v>
      </c>
      <c r="H5">
        <v>0</v>
      </c>
      <c r="I5">
        <f>2*1.2*(4+2)</f>
        <v>14.399999999999999</v>
      </c>
      <c r="L5">
        <f>Constants!$B$2</f>
        <v>2.8</v>
      </c>
      <c r="M5" t="str">
        <f t="shared" si="0"/>
        <v>N/A</v>
      </c>
      <c r="N5">
        <f>P5*Constants!$E$2</f>
        <v>0</v>
      </c>
      <c r="P5">
        <f t="shared" si="1"/>
        <v>0</v>
      </c>
      <c r="Q5">
        <f>P5*Constants!$B$3</f>
        <v>0</v>
      </c>
      <c r="R5">
        <f t="shared" si="2"/>
        <v>0</v>
      </c>
      <c r="S5">
        <f t="shared" si="3"/>
        <v>14.399999999999999</v>
      </c>
      <c r="T5">
        <f>S5*Constants!$B$2</f>
        <v>40.319999999999993</v>
      </c>
      <c r="V5">
        <f t="shared" si="4"/>
        <v>0</v>
      </c>
      <c r="W5">
        <f t="shared" si="5"/>
        <v>0</v>
      </c>
      <c r="AA5" s="8"/>
      <c r="AJ5" s="4"/>
    </row>
    <row r="6" spans="1:40" x14ac:dyDescent="0.25">
      <c r="A6">
        <v>5</v>
      </c>
      <c r="B6">
        <v>9</v>
      </c>
      <c r="C6" t="s">
        <v>54</v>
      </c>
      <c r="D6" s="16" t="s">
        <v>347</v>
      </c>
      <c r="F6">
        <v>10.46</v>
      </c>
      <c r="G6" t="s">
        <v>44</v>
      </c>
      <c r="H6">
        <v>0</v>
      </c>
      <c r="I6">
        <f>2*1.2*(2+4)</f>
        <v>14.399999999999999</v>
      </c>
      <c r="L6">
        <f>Constants!$B$2</f>
        <v>2.8</v>
      </c>
      <c r="M6" t="str">
        <f t="shared" si="0"/>
        <v>N/A</v>
      </c>
      <c r="N6">
        <f>P6*Constants!$E$2</f>
        <v>0</v>
      </c>
      <c r="P6">
        <f t="shared" si="1"/>
        <v>0</v>
      </c>
      <c r="Q6">
        <f>P6*Constants!$B$3</f>
        <v>0</v>
      </c>
      <c r="R6">
        <f t="shared" si="2"/>
        <v>0</v>
      </c>
      <c r="S6">
        <f t="shared" si="3"/>
        <v>14.399999999999999</v>
      </c>
      <c r="T6">
        <f>S6*Constants!$B$2</f>
        <v>40.319999999999993</v>
      </c>
      <c r="V6">
        <f t="shared" si="4"/>
        <v>0</v>
      </c>
      <c r="W6">
        <f t="shared" si="5"/>
        <v>0</v>
      </c>
      <c r="AA6" s="8"/>
      <c r="AJ6" s="4"/>
    </row>
    <row r="7" spans="1:40" x14ac:dyDescent="0.25">
      <c r="A7">
        <v>6</v>
      </c>
      <c r="B7">
        <v>9</v>
      </c>
      <c r="C7" t="s">
        <v>54</v>
      </c>
      <c r="D7" s="16" t="s">
        <v>350</v>
      </c>
      <c r="F7">
        <v>17.09</v>
      </c>
      <c r="G7">
        <v>180</v>
      </c>
      <c r="H7">
        <v>1</v>
      </c>
      <c r="I7">
        <f>2*1.2*(3+5)</f>
        <v>19.2</v>
      </c>
      <c r="L7">
        <f>Constants!$B$2</f>
        <v>2.8</v>
      </c>
      <c r="M7">
        <f t="shared" ref="M7" si="6">IF(N7&gt;0,G7,"N/A")</f>
        <v>180</v>
      </c>
      <c r="N7">
        <f>P7*Constants!$E$2</f>
        <v>1.7</v>
      </c>
      <c r="P7">
        <f t="shared" ref="P7" si="7">H7</f>
        <v>1</v>
      </c>
      <c r="Q7">
        <f>P7*Constants!$B$3</f>
        <v>4.1999999999999993</v>
      </c>
      <c r="R7">
        <f t="shared" ref="R7" si="8">IF(Q7-N7&lt;=0, 0, Q7-N7)</f>
        <v>2.4999999999999991</v>
      </c>
      <c r="S7">
        <f t="shared" ref="S7" si="9">I7-P7</f>
        <v>18.2</v>
      </c>
      <c r="T7">
        <f>S7*Constants!$B$2</f>
        <v>50.959999999999994</v>
      </c>
      <c r="V7">
        <f t="shared" ref="V7" si="10">IF(B7="E",1,0)</f>
        <v>0</v>
      </c>
      <c r="W7">
        <f t="shared" ref="W7" si="11">IF(B7=10,1,0)</f>
        <v>0</v>
      </c>
      <c r="AA7" s="8"/>
      <c r="AJ7" s="4"/>
    </row>
    <row r="8" spans="1:40" x14ac:dyDescent="0.25">
      <c r="A8">
        <v>7</v>
      </c>
      <c r="B8">
        <v>9</v>
      </c>
      <c r="C8" t="s">
        <v>62</v>
      </c>
      <c r="D8" s="16" t="s">
        <v>349</v>
      </c>
      <c r="F8">
        <v>20.57</v>
      </c>
      <c r="G8">
        <v>180</v>
      </c>
      <c r="H8">
        <v>4</v>
      </c>
      <c r="I8">
        <f>2*(5.6+4)</f>
        <v>19.2</v>
      </c>
      <c r="L8">
        <f>Constants!$B$2</f>
        <v>2.8</v>
      </c>
      <c r="M8">
        <f t="shared" si="0"/>
        <v>180</v>
      </c>
      <c r="N8">
        <f>P8*Constants!$E$2</f>
        <v>6.8</v>
      </c>
      <c r="P8">
        <f t="shared" si="1"/>
        <v>4</v>
      </c>
      <c r="Q8">
        <f>P8*Constants!$B$3</f>
        <v>16.799999999999997</v>
      </c>
      <c r="R8">
        <f t="shared" si="2"/>
        <v>9.9999999999999964</v>
      </c>
      <c r="S8">
        <f t="shared" si="3"/>
        <v>15.2</v>
      </c>
      <c r="T8">
        <f>S8*Constants!$B$2</f>
        <v>42.559999999999995</v>
      </c>
      <c r="V8">
        <f t="shared" si="4"/>
        <v>0</v>
      </c>
      <c r="W8">
        <f t="shared" si="5"/>
        <v>0</v>
      </c>
      <c r="AA8" s="8"/>
      <c r="AJ8" s="4"/>
    </row>
    <row r="9" spans="1:40" x14ac:dyDescent="0.25">
      <c r="A9">
        <v>8</v>
      </c>
      <c r="B9">
        <v>9</v>
      </c>
      <c r="C9" t="s">
        <v>54</v>
      </c>
      <c r="D9" s="16" t="s">
        <v>351</v>
      </c>
      <c r="E9" s="16"/>
      <c r="F9">
        <v>24.39</v>
      </c>
      <c r="G9">
        <v>180</v>
      </c>
      <c r="H9">
        <v>3</v>
      </c>
      <c r="I9">
        <f>2*1.2*(5.2+4.1)</f>
        <v>22.32</v>
      </c>
      <c r="L9">
        <f>Constants!$B$2</f>
        <v>2.8</v>
      </c>
      <c r="M9">
        <f t="shared" ref="M9" si="12">IF(N9&gt;0,G9,"N/A")</f>
        <v>180</v>
      </c>
      <c r="N9">
        <f>P9*Constants!$E$2</f>
        <v>5.0999999999999996</v>
      </c>
      <c r="P9">
        <f t="shared" ref="P9" si="13">H9</f>
        <v>3</v>
      </c>
      <c r="Q9">
        <f>P9*Constants!$B$3</f>
        <v>12.599999999999998</v>
      </c>
      <c r="R9">
        <f t="shared" ref="R9" si="14">IF(Q9-N9&lt;=0, 0, Q9-N9)</f>
        <v>7.4999999999999982</v>
      </c>
      <c r="S9">
        <f t="shared" ref="S9" si="15">I9-P9</f>
        <v>19.32</v>
      </c>
      <c r="T9">
        <f>S9*Constants!$B$2</f>
        <v>54.095999999999997</v>
      </c>
      <c r="V9">
        <f t="shared" ref="V9" si="16">IF(B9="E",1,0)</f>
        <v>0</v>
      </c>
      <c r="W9">
        <f t="shared" ref="W9" si="17">IF(B9=10,1,0)</f>
        <v>0</v>
      </c>
      <c r="AA9" s="8"/>
      <c r="AJ9" s="4"/>
    </row>
    <row r="10" spans="1:40" x14ac:dyDescent="0.25">
      <c r="A10">
        <v>9</v>
      </c>
      <c r="B10">
        <v>9</v>
      </c>
      <c r="C10" t="s">
        <v>55</v>
      </c>
      <c r="D10" s="16" t="s">
        <v>368</v>
      </c>
      <c r="F10">
        <v>23.25</v>
      </c>
      <c r="G10">
        <v>180</v>
      </c>
      <c r="H10">
        <f>1.2*4.5</f>
        <v>5.3999999999999995</v>
      </c>
      <c r="I10">
        <f>2*1.2*(4+4.5)</f>
        <v>20.399999999999999</v>
      </c>
      <c r="L10">
        <f>Constants!$B$2</f>
        <v>2.8</v>
      </c>
      <c r="M10">
        <f t="shared" si="0"/>
        <v>180</v>
      </c>
      <c r="N10">
        <f>P10*Constants!$E$2</f>
        <v>9.18</v>
      </c>
      <c r="P10">
        <f t="shared" si="1"/>
        <v>5.3999999999999995</v>
      </c>
      <c r="Q10">
        <f>P10*Constants!$B$3</f>
        <v>22.679999999999993</v>
      </c>
      <c r="R10">
        <f t="shared" si="2"/>
        <v>13.499999999999993</v>
      </c>
      <c r="S10">
        <f t="shared" si="3"/>
        <v>15</v>
      </c>
      <c r="T10">
        <f>S10*Constants!$B$2</f>
        <v>42</v>
      </c>
      <c r="V10">
        <f t="shared" si="4"/>
        <v>0</v>
      </c>
      <c r="W10">
        <f t="shared" si="5"/>
        <v>0</v>
      </c>
      <c r="AA10" s="8"/>
      <c r="AJ10" s="4"/>
    </row>
    <row r="11" spans="1:40" x14ac:dyDescent="0.25">
      <c r="A11">
        <v>10</v>
      </c>
      <c r="B11">
        <v>9</v>
      </c>
      <c r="C11" t="s">
        <v>55</v>
      </c>
      <c r="D11" s="16" t="s">
        <v>352</v>
      </c>
      <c r="F11">
        <v>30.11</v>
      </c>
      <c r="G11" t="s">
        <v>44</v>
      </c>
      <c r="H11">
        <v>0</v>
      </c>
      <c r="I11">
        <f>2*1.2*(5+5)</f>
        <v>24</v>
      </c>
      <c r="L11">
        <f>Constants!$B$2</f>
        <v>2.8</v>
      </c>
      <c r="M11" t="str">
        <f t="shared" si="0"/>
        <v>N/A</v>
      </c>
      <c r="N11">
        <f>P11*Constants!$E$2</f>
        <v>0</v>
      </c>
      <c r="P11">
        <f t="shared" si="1"/>
        <v>0</v>
      </c>
      <c r="Q11">
        <f>P11*Constants!$B$3</f>
        <v>0</v>
      </c>
      <c r="R11">
        <f t="shared" si="2"/>
        <v>0</v>
      </c>
      <c r="S11">
        <f t="shared" si="3"/>
        <v>24</v>
      </c>
      <c r="T11">
        <f>S11*Constants!$B$2</f>
        <v>67.199999999999989</v>
      </c>
      <c r="V11">
        <f t="shared" si="4"/>
        <v>0</v>
      </c>
      <c r="W11">
        <f t="shared" si="5"/>
        <v>0</v>
      </c>
      <c r="AA11" s="8"/>
      <c r="AJ11" s="4"/>
    </row>
    <row r="12" spans="1:40" x14ac:dyDescent="0.25">
      <c r="A12">
        <v>11</v>
      </c>
      <c r="B12">
        <v>9</v>
      </c>
      <c r="C12" t="s">
        <v>66</v>
      </c>
      <c r="D12" s="16" t="s">
        <v>353</v>
      </c>
      <c r="F12">
        <v>12.4</v>
      </c>
      <c r="G12" t="s">
        <v>44</v>
      </c>
      <c r="H12">
        <v>0</v>
      </c>
      <c r="I12">
        <f>2*1.2*(2+5)</f>
        <v>16.8</v>
      </c>
      <c r="L12">
        <f>Constants!$B$2</f>
        <v>2.8</v>
      </c>
      <c r="M12" t="str">
        <f t="shared" ref="M12:M13" si="18">IF(N12&gt;0,G12,"N/A")</f>
        <v>N/A</v>
      </c>
      <c r="N12">
        <f>P12*Constants!$E$2</f>
        <v>0</v>
      </c>
      <c r="P12">
        <f t="shared" ref="P12:P13" si="19">H12</f>
        <v>0</v>
      </c>
      <c r="Q12">
        <f>P12*Constants!$B$3</f>
        <v>0</v>
      </c>
      <c r="R12">
        <f t="shared" ref="R12:R13" si="20">IF(Q12-N12&lt;=0, 0, Q12-N12)</f>
        <v>0</v>
      </c>
      <c r="S12">
        <f t="shared" ref="S12:S13" si="21">I12-P12</f>
        <v>16.8</v>
      </c>
      <c r="T12">
        <f>S12*Constants!$B$2</f>
        <v>47.04</v>
      </c>
      <c r="V12">
        <f t="shared" ref="V12:V13" si="22">IF(B12="E",1,0)</f>
        <v>0</v>
      </c>
      <c r="W12">
        <f t="shared" ref="W12:W13" si="23">IF(B12=10,1,0)</f>
        <v>0</v>
      </c>
      <c r="AA12" s="8"/>
      <c r="AJ12" s="4"/>
    </row>
    <row r="13" spans="1:40" x14ac:dyDescent="0.25">
      <c r="A13">
        <v>12</v>
      </c>
      <c r="B13">
        <v>9</v>
      </c>
      <c r="C13" t="s">
        <v>67</v>
      </c>
      <c r="D13" s="16" t="s">
        <v>354</v>
      </c>
      <c r="F13">
        <v>30</v>
      </c>
      <c r="G13">
        <v>180</v>
      </c>
      <c r="H13">
        <v>6</v>
      </c>
      <c r="I13">
        <f>2*1.2*(4+5.2)</f>
        <v>22.08</v>
      </c>
      <c r="L13">
        <f>Constants!$B$2</f>
        <v>2.8</v>
      </c>
      <c r="M13">
        <f t="shared" si="18"/>
        <v>180</v>
      </c>
      <c r="N13">
        <f>P13*Constants!$E$2</f>
        <v>10.199999999999999</v>
      </c>
      <c r="P13">
        <f t="shared" si="19"/>
        <v>6</v>
      </c>
      <c r="Q13">
        <f>P13*Constants!$B$3</f>
        <v>25.199999999999996</v>
      </c>
      <c r="R13">
        <f t="shared" si="20"/>
        <v>14.999999999999996</v>
      </c>
      <c r="S13">
        <f t="shared" si="21"/>
        <v>16.079999999999998</v>
      </c>
      <c r="T13">
        <f>S13*Constants!$B$2</f>
        <v>45.023999999999994</v>
      </c>
      <c r="V13">
        <f t="shared" si="22"/>
        <v>0</v>
      </c>
      <c r="W13">
        <f t="shared" si="23"/>
        <v>0</v>
      </c>
      <c r="AA13" s="8"/>
      <c r="AJ13" s="4"/>
    </row>
    <row r="14" spans="1:40" x14ac:dyDescent="0.25">
      <c r="A14">
        <v>13</v>
      </c>
      <c r="B14">
        <v>9</v>
      </c>
      <c r="C14" t="s">
        <v>54</v>
      </c>
      <c r="D14" s="16" t="s">
        <v>355</v>
      </c>
      <c r="E14" s="16"/>
      <c r="F14">
        <v>24.39</v>
      </c>
      <c r="G14">
        <v>180</v>
      </c>
      <c r="H14">
        <f>1.2*5.1</f>
        <v>6.1199999999999992</v>
      </c>
      <c r="I14">
        <f>2*1.2*(4.1+4.1)</f>
        <v>19.679999999999996</v>
      </c>
      <c r="L14">
        <f>Constants!$B$2</f>
        <v>2.8</v>
      </c>
      <c r="M14">
        <f t="shared" si="0"/>
        <v>180</v>
      </c>
      <c r="N14">
        <f>P14*Constants!$E$2</f>
        <v>10.403999999999998</v>
      </c>
      <c r="P14">
        <f t="shared" si="1"/>
        <v>6.1199999999999992</v>
      </c>
      <c r="Q14">
        <f>P14*Constants!$B$3</f>
        <v>25.703999999999994</v>
      </c>
      <c r="R14">
        <f t="shared" si="2"/>
        <v>15.299999999999995</v>
      </c>
      <c r="S14">
        <f t="shared" si="3"/>
        <v>13.559999999999997</v>
      </c>
      <c r="T14">
        <f>S14*Constants!$B$2</f>
        <v>37.967999999999989</v>
      </c>
      <c r="V14">
        <f t="shared" si="4"/>
        <v>0</v>
      </c>
      <c r="W14">
        <f t="shared" si="5"/>
        <v>0</v>
      </c>
      <c r="AA14" s="8"/>
      <c r="AJ14" s="4"/>
    </row>
    <row r="15" spans="1:40" x14ac:dyDescent="0.25">
      <c r="A15">
        <v>14</v>
      </c>
      <c r="B15">
        <v>9</v>
      </c>
      <c r="C15" t="s">
        <v>67</v>
      </c>
      <c r="D15" s="16" t="s">
        <v>357</v>
      </c>
      <c r="F15">
        <v>18.149999999999999</v>
      </c>
      <c r="G15">
        <v>180</v>
      </c>
      <c r="H15">
        <v>2</v>
      </c>
      <c r="I15">
        <f>2*1.2*(3+5)</f>
        <v>19.2</v>
      </c>
      <c r="L15">
        <f>Constants!$B$2</f>
        <v>2.8</v>
      </c>
      <c r="M15">
        <f t="shared" si="0"/>
        <v>180</v>
      </c>
      <c r="N15">
        <f>P15*Constants!$E$2</f>
        <v>3.4</v>
      </c>
      <c r="P15">
        <f t="shared" si="1"/>
        <v>2</v>
      </c>
      <c r="Q15">
        <f>P15*Constants!$B$3</f>
        <v>8.3999999999999986</v>
      </c>
      <c r="R15">
        <f t="shared" si="2"/>
        <v>4.9999999999999982</v>
      </c>
      <c r="S15">
        <f t="shared" si="3"/>
        <v>17.2</v>
      </c>
      <c r="T15">
        <f>S15*Constants!$B$2</f>
        <v>48.16</v>
      </c>
      <c r="V15">
        <f t="shared" si="4"/>
        <v>0</v>
      </c>
      <c r="W15">
        <f t="shared" si="5"/>
        <v>0</v>
      </c>
      <c r="AA15" s="8"/>
      <c r="AJ15" s="4"/>
    </row>
    <row r="16" spans="1:40" x14ac:dyDescent="0.25">
      <c r="A16">
        <v>15</v>
      </c>
      <c r="B16">
        <v>9</v>
      </c>
      <c r="C16" t="s">
        <v>66</v>
      </c>
      <c r="D16" s="16" t="s">
        <v>358</v>
      </c>
      <c r="E16" s="16"/>
      <c r="F16">
        <v>12.36</v>
      </c>
      <c r="G16" t="s">
        <v>44</v>
      </c>
      <c r="H16">
        <v>0</v>
      </c>
      <c r="I16">
        <f>2*1.2*(2+4)</f>
        <v>14.399999999999999</v>
      </c>
      <c r="L16">
        <f>Constants!$B$2</f>
        <v>2.8</v>
      </c>
      <c r="M16" t="str">
        <f t="shared" si="0"/>
        <v>N/A</v>
      </c>
      <c r="N16">
        <f>P16*Constants!$E$2</f>
        <v>0</v>
      </c>
      <c r="P16">
        <f>H16</f>
        <v>0</v>
      </c>
      <c r="Q16">
        <f>P16*Constants!$B$3</f>
        <v>0</v>
      </c>
      <c r="R16">
        <f t="shared" si="2"/>
        <v>0</v>
      </c>
      <c r="S16">
        <f>I16-P16</f>
        <v>14.399999999999999</v>
      </c>
      <c r="T16">
        <f>S16*Constants!$B$2</f>
        <v>40.319999999999993</v>
      </c>
      <c r="V16">
        <f t="shared" si="4"/>
        <v>0</v>
      </c>
      <c r="W16">
        <f t="shared" si="5"/>
        <v>0</v>
      </c>
      <c r="AA16" s="8"/>
      <c r="AJ16" s="4"/>
    </row>
    <row r="17" spans="1:36" x14ac:dyDescent="0.25">
      <c r="A17">
        <v>16</v>
      </c>
      <c r="B17">
        <v>9</v>
      </c>
      <c r="C17" t="s">
        <v>62</v>
      </c>
      <c r="D17" s="16" t="s">
        <v>356</v>
      </c>
      <c r="E17" s="16"/>
      <c r="F17">
        <v>20.57</v>
      </c>
      <c r="G17">
        <v>180</v>
      </c>
      <c r="H17">
        <v>4</v>
      </c>
      <c r="I17">
        <f>2*(5.6+4)</f>
        <v>19.2</v>
      </c>
      <c r="L17">
        <f>Constants!$B$2</f>
        <v>2.8</v>
      </c>
      <c r="M17">
        <f t="shared" ref="M17:M24" si="24">IF(N17&gt;0,G17,"N/A")</f>
        <v>180</v>
      </c>
      <c r="N17">
        <f>P17*Constants!$E$2</f>
        <v>6.8</v>
      </c>
      <c r="P17">
        <f t="shared" ref="P17:P24" si="25">H17</f>
        <v>4</v>
      </c>
      <c r="Q17">
        <f>P17*Constants!$B$3</f>
        <v>16.799999999999997</v>
      </c>
      <c r="R17">
        <f t="shared" ref="R17:R24" si="26">IF(Q17-N17&lt;=0, 0, Q17-N17)</f>
        <v>9.9999999999999964</v>
      </c>
      <c r="S17">
        <f t="shared" ref="S17:S24" si="27">I17-P17</f>
        <v>15.2</v>
      </c>
      <c r="T17">
        <f>S17*Constants!$B$2</f>
        <v>42.559999999999995</v>
      </c>
      <c r="V17">
        <f t="shared" ref="V17:V24" si="28">IF(B17="E",1,0)</f>
        <v>0</v>
      </c>
      <c r="W17">
        <f t="shared" ref="W17:W24" si="29">IF(B17=10,1,0)</f>
        <v>0</v>
      </c>
      <c r="AA17" s="8"/>
      <c r="AJ17" s="4"/>
    </row>
    <row r="18" spans="1:36" x14ac:dyDescent="0.25">
      <c r="A18">
        <v>17</v>
      </c>
      <c r="B18">
        <v>9</v>
      </c>
      <c r="C18" t="s">
        <v>67</v>
      </c>
      <c r="D18" s="16" t="s">
        <v>359</v>
      </c>
      <c r="F18">
        <v>28.23</v>
      </c>
      <c r="G18">
        <v>180</v>
      </c>
      <c r="H18">
        <v>3</v>
      </c>
      <c r="I18">
        <f>2*1.2*(4.5+4)</f>
        <v>20.399999999999999</v>
      </c>
      <c r="L18">
        <f>Constants!$B$2</f>
        <v>2.8</v>
      </c>
      <c r="M18">
        <f t="shared" si="24"/>
        <v>180</v>
      </c>
      <c r="N18">
        <f>P18*Constants!$E$2</f>
        <v>5.0999999999999996</v>
      </c>
      <c r="P18">
        <f t="shared" si="25"/>
        <v>3</v>
      </c>
      <c r="Q18">
        <f>P18*Constants!$B$3</f>
        <v>12.599999999999998</v>
      </c>
      <c r="R18">
        <f t="shared" si="26"/>
        <v>7.4999999999999982</v>
      </c>
      <c r="S18">
        <f t="shared" si="27"/>
        <v>17.399999999999999</v>
      </c>
      <c r="T18">
        <f>S18*Constants!$B$2</f>
        <v>48.719999999999992</v>
      </c>
      <c r="V18">
        <f t="shared" si="28"/>
        <v>0</v>
      </c>
      <c r="W18">
        <f t="shared" si="29"/>
        <v>0</v>
      </c>
      <c r="AA18" s="8"/>
      <c r="AJ18" s="4"/>
    </row>
    <row r="19" spans="1:36" x14ac:dyDescent="0.25">
      <c r="A19">
        <v>18</v>
      </c>
      <c r="B19">
        <v>9</v>
      </c>
      <c r="C19" t="s">
        <v>54</v>
      </c>
      <c r="D19" s="16" t="s">
        <v>363</v>
      </c>
      <c r="F19">
        <v>15.95</v>
      </c>
      <c r="G19">
        <v>180</v>
      </c>
      <c r="H19">
        <v>3</v>
      </c>
      <c r="I19">
        <f>2*1.2*(3+4.1)</f>
        <v>17.04</v>
      </c>
      <c r="L19">
        <f>Constants!$B$2</f>
        <v>2.8</v>
      </c>
      <c r="M19">
        <f t="shared" si="24"/>
        <v>180</v>
      </c>
      <c r="N19">
        <f>P19*Constants!$E$2</f>
        <v>5.0999999999999996</v>
      </c>
      <c r="P19">
        <f t="shared" si="25"/>
        <v>3</v>
      </c>
      <c r="Q19">
        <f>P19*Constants!$B$3</f>
        <v>12.599999999999998</v>
      </c>
      <c r="R19">
        <f t="shared" si="26"/>
        <v>7.4999999999999982</v>
      </c>
      <c r="S19">
        <f t="shared" si="27"/>
        <v>14.04</v>
      </c>
      <c r="T19">
        <f>S19*Constants!$B$2</f>
        <v>39.311999999999998</v>
      </c>
      <c r="V19">
        <f t="shared" si="28"/>
        <v>0</v>
      </c>
      <c r="W19">
        <f t="shared" si="29"/>
        <v>0</v>
      </c>
      <c r="AA19" s="8"/>
      <c r="AJ19" s="4"/>
    </row>
    <row r="20" spans="1:36" x14ac:dyDescent="0.25">
      <c r="A20">
        <v>19</v>
      </c>
      <c r="B20">
        <v>9</v>
      </c>
      <c r="C20" t="s">
        <v>55</v>
      </c>
      <c r="D20" s="16" t="s">
        <v>364</v>
      </c>
      <c r="E20" s="16"/>
      <c r="F20">
        <v>23.1</v>
      </c>
      <c r="G20">
        <v>180</v>
      </c>
      <c r="H20">
        <v>4</v>
      </c>
      <c r="I20">
        <f>2*1.2*(4+4.5)</f>
        <v>20.399999999999999</v>
      </c>
      <c r="L20">
        <f>Constants!$B$2</f>
        <v>2.8</v>
      </c>
      <c r="M20">
        <f t="shared" si="24"/>
        <v>180</v>
      </c>
      <c r="N20">
        <f>P20*Constants!$E$2</f>
        <v>6.8</v>
      </c>
      <c r="P20">
        <f t="shared" si="25"/>
        <v>4</v>
      </c>
      <c r="Q20">
        <f>P20*Constants!$B$3</f>
        <v>16.799999999999997</v>
      </c>
      <c r="R20">
        <f t="shared" si="26"/>
        <v>9.9999999999999964</v>
      </c>
      <c r="S20">
        <f t="shared" si="27"/>
        <v>16.399999999999999</v>
      </c>
      <c r="T20">
        <f>S20*Constants!$B$2</f>
        <v>45.919999999999995</v>
      </c>
      <c r="V20">
        <f t="shared" si="28"/>
        <v>0</v>
      </c>
      <c r="W20">
        <f t="shared" si="29"/>
        <v>0</v>
      </c>
      <c r="AA20" s="8"/>
      <c r="AJ20" s="4"/>
    </row>
    <row r="21" spans="1:36" x14ac:dyDescent="0.25">
      <c r="A21">
        <v>20</v>
      </c>
      <c r="B21">
        <v>9</v>
      </c>
      <c r="C21" t="s">
        <v>64</v>
      </c>
      <c r="D21" s="16" t="s">
        <v>369</v>
      </c>
      <c r="E21" s="16"/>
      <c r="F21">
        <v>2.93</v>
      </c>
      <c r="G21" t="s">
        <v>44</v>
      </c>
      <c r="H21">
        <v>0</v>
      </c>
      <c r="I21">
        <f>2*1.2*(1+2.5)</f>
        <v>8.4</v>
      </c>
      <c r="L21">
        <f>Constants!$B$2</f>
        <v>2.8</v>
      </c>
      <c r="M21" t="str">
        <f t="shared" si="24"/>
        <v>N/A</v>
      </c>
      <c r="N21">
        <f>P21*Constants!$E$2</f>
        <v>0</v>
      </c>
      <c r="P21">
        <f t="shared" si="25"/>
        <v>0</v>
      </c>
      <c r="Q21">
        <f>P21*Constants!$B$3</f>
        <v>0</v>
      </c>
      <c r="R21">
        <f t="shared" si="26"/>
        <v>0</v>
      </c>
      <c r="S21">
        <f t="shared" si="27"/>
        <v>8.4</v>
      </c>
      <c r="T21">
        <f>S21*Constants!$B$2</f>
        <v>23.52</v>
      </c>
      <c r="V21">
        <f t="shared" si="28"/>
        <v>0</v>
      </c>
      <c r="W21">
        <f t="shared" si="29"/>
        <v>0</v>
      </c>
      <c r="AA21" s="8"/>
      <c r="AJ21" s="4"/>
    </row>
    <row r="22" spans="1:36" x14ac:dyDescent="0.25">
      <c r="A22">
        <v>21</v>
      </c>
      <c r="B22">
        <v>9</v>
      </c>
      <c r="C22" t="s">
        <v>64</v>
      </c>
      <c r="D22" s="16" t="s">
        <v>348</v>
      </c>
      <c r="F22">
        <v>2.93</v>
      </c>
      <c r="G22" t="s">
        <v>44</v>
      </c>
      <c r="H22">
        <v>0</v>
      </c>
      <c r="I22">
        <f>2*1.2*(1+2.5)</f>
        <v>8.4</v>
      </c>
      <c r="L22">
        <f>Constants!$B$2</f>
        <v>2.8</v>
      </c>
      <c r="M22" t="str">
        <f t="shared" si="24"/>
        <v>N/A</v>
      </c>
      <c r="N22">
        <f>P22*Constants!$E$2</f>
        <v>0</v>
      </c>
      <c r="P22">
        <f t="shared" si="25"/>
        <v>0</v>
      </c>
      <c r="Q22">
        <f>P22*Constants!$B$3</f>
        <v>0</v>
      </c>
      <c r="R22">
        <f t="shared" si="26"/>
        <v>0</v>
      </c>
      <c r="S22">
        <f t="shared" si="27"/>
        <v>8.4</v>
      </c>
      <c r="T22">
        <f>S22*Constants!$B$2</f>
        <v>23.52</v>
      </c>
      <c r="V22">
        <f t="shared" si="28"/>
        <v>0</v>
      </c>
      <c r="W22">
        <f t="shared" si="29"/>
        <v>0</v>
      </c>
      <c r="AA22" s="8"/>
      <c r="AJ22" s="4"/>
    </row>
    <row r="23" spans="1:36" x14ac:dyDescent="0.25">
      <c r="A23">
        <v>22</v>
      </c>
      <c r="B23">
        <v>9</v>
      </c>
      <c r="C23" t="s">
        <v>62</v>
      </c>
      <c r="D23" s="16" t="s">
        <v>362</v>
      </c>
      <c r="F23">
        <v>20.57</v>
      </c>
      <c r="G23">
        <v>180</v>
      </c>
      <c r="H23">
        <v>4</v>
      </c>
      <c r="I23">
        <f>2*(5.6+4)</f>
        <v>19.2</v>
      </c>
      <c r="L23">
        <f>Constants!$B$2</f>
        <v>2.8</v>
      </c>
      <c r="M23">
        <f t="shared" si="24"/>
        <v>180</v>
      </c>
      <c r="N23">
        <f>P23*Constants!$E$2</f>
        <v>6.8</v>
      </c>
      <c r="P23">
        <f t="shared" si="25"/>
        <v>4</v>
      </c>
      <c r="Q23">
        <f>P23*Constants!$B$3</f>
        <v>16.799999999999997</v>
      </c>
      <c r="R23">
        <f t="shared" si="26"/>
        <v>9.9999999999999964</v>
      </c>
      <c r="S23">
        <f t="shared" si="27"/>
        <v>15.2</v>
      </c>
      <c r="T23">
        <f>S23*Constants!$B$2</f>
        <v>42.559999999999995</v>
      </c>
      <c r="V23">
        <f t="shared" si="28"/>
        <v>0</v>
      </c>
      <c r="W23">
        <f t="shared" si="29"/>
        <v>0</v>
      </c>
      <c r="AA23" s="8"/>
      <c r="AJ23" s="4"/>
    </row>
    <row r="24" spans="1:36" x14ac:dyDescent="0.25">
      <c r="A24">
        <v>23</v>
      </c>
      <c r="B24">
        <v>9</v>
      </c>
      <c r="C24" t="s">
        <v>55</v>
      </c>
      <c r="D24" s="16" t="s">
        <v>361</v>
      </c>
      <c r="E24" s="16"/>
      <c r="F24">
        <v>30.11</v>
      </c>
      <c r="G24" t="s">
        <v>44</v>
      </c>
      <c r="H24">
        <v>0</v>
      </c>
      <c r="I24">
        <f>2*1.2*(5+5)</f>
        <v>24</v>
      </c>
      <c r="L24">
        <f>Constants!$B$2</f>
        <v>2.8</v>
      </c>
      <c r="M24" t="str">
        <f t="shared" si="24"/>
        <v>N/A</v>
      </c>
      <c r="N24">
        <f>P24*Constants!$E$2</f>
        <v>0</v>
      </c>
      <c r="P24">
        <f t="shared" si="25"/>
        <v>0</v>
      </c>
      <c r="Q24">
        <f>P24*Constants!$B$3</f>
        <v>0</v>
      </c>
      <c r="R24">
        <f t="shared" si="26"/>
        <v>0</v>
      </c>
      <c r="S24">
        <f t="shared" si="27"/>
        <v>24</v>
      </c>
      <c r="T24">
        <f>S24*Constants!$B$2</f>
        <v>67.199999999999989</v>
      </c>
      <c r="V24">
        <f t="shared" si="28"/>
        <v>0</v>
      </c>
      <c r="W24">
        <f t="shared" si="29"/>
        <v>0</v>
      </c>
      <c r="AA24" s="8"/>
      <c r="AJ24" s="4"/>
    </row>
    <row r="25" spans="1:36" x14ac:dyDescent="0.25">
      <c r="A25">
        <v>24</v>
      </c>
      <c r="B25">
        <v>9</v>
      </c>
      <c r="C25" t="s">
        <v>66</v>
      </c>
      <c r="D25" s="16" t="s">
        <v>360</v>
      </c>
      <c r="E25" s="16"/>
      <c r="F25">
        <v>12.4</v>
      </c>
      <c r="G25" t="s">
        <v>44</v>
      </c>
      <c r="H25">
        <v>0</v>
      </c>
      <c r="I25">
        <f>2*1.2*(2+5)</f>
        <v>16.8</v>
      </c>
      <c r="L25">
        <f>Constants!$B$2</f>
        <v>2.8</v>
      </c>
      <c r="M25" t="str">
        <f t="shared" ref="M25:M29" si="30">IF(N25&gt;0,G25,"N/A")</f>
        <v>N/A</v>
      </c>
      <c r="N25">
        <f>P25*Constants!$E$2</f>
        <v>0</v>
      </c>
      <c r="P25">
        <f t="shared" ref="P25:P29" si="31">H25</f>
        <v>0</v>
      </c>
      <c r="Q25">
        <f>P25*Constants!$B$3</f>
        <v>0</v>
      </c>
      <c r="R25">
        <f t="shared" ref="R25:R29" si="32">IF(Q25-N25&lt;=0, 0, Q25-N25)</f>
        <v>0</v>
      </c>
      <c r="S25">
        <f t="shared" ref="S25:S29" si="33">I25-P25</f>
        <v>16.8</v>
      </c>
      <c r="T25">
        <f>S25*Constants!$B$2</f>
        <v>47.04</v>
      </c>
      <c r="V25">
        <f t="shared" ref="V25:V29" si="34">IF(B25="E",1,0)</f>
        <v>0</v>
      </c>
      <c r="W25">
        <f t="shared" ref="W25:W29" si="35">IF(B25=10,1,0)</f>
        <v>0</v>
      </c>
      <c r="AA25" s="8"/>
      <c r="AJ25" s="4"/>
    </row>
    <row r="26" spans="1:36" x14ac:dyDescent="0.25">
      <c r="A26">
        <v>25</v>
      </c>
      <c r="B26">
        <v>9</v>
      </c>
      <c r="C26" t="s">
        <v>54</v>
      </c>
      <c r="D26" s="16" t="s">
        <v>366</v>
      </c>
      <c r="F26">
        <v>30</v>
      </c>
      <c r="G26">
        <v>180</v>
      </c>
      <c r="H26">
        <v>6</v>
      </c>
      <c r="I26">
        <f>2*1.2*(5.1+4.1)</f>
        <v>22.08</v>
      </c>
      <c r="L26">
        <f>Constants!$B$2</f>
        <v>2.8</v>
      </c>
      <c r="M26">
        <f t="shared" si="30"/>
        <v>180</v>
      </c>
      <c r="N26">
        <f>P26*Constants!$E$2</f>
        <v>10.199999999999999</v>
      </c>
      <c r="P26">
        <f t="shared" si="31"/>
        <v>6</v>
      </c>
      <c r="Q26">
        <f>P26*Constants!$B$3</f>
        <v>25.199999999999996</v>
      </c>
      <c r="R26">
        <f t="shared" si="32"/>
        <v>14.999999999999996</v>
      </c>
      <c r="S26">
        <f t="shared" si="33"/>
        <v>16.079999999999998</v>
      </c>
      <c r="T26">
        <f>S26*Constants!$B$2</f>
        <v>45.023999999999994</v>
      </c>
      <c r="V26">
        <f t="shared" si="34"/>
        <v>0</v>
      </c>
      <c r="W26">
        <f t="shared" si="35"/>
        <v>0</v>
      </c>
      <c r="AA26" s="8"/>
      <c r="AJ26" s="4"/>
    </row>
    <row r="27" spans="1:36" x14ac:dyDescent="0.25">
      <c r="A27">
        <v>26</v>
      </c>
      <c r="B27">
        <v>9</v>
      </c>
      <c r="C27" t="s">
        <v>64</v>
      </c>
      <c r="D27" s="16" t="s">
        <v>365</v>
      </c>
      <c r="F27">
        <v>2.93</v>
      </c>
      <c r="G27" t="s">
        <v>44</v>
      </c>
      <c r="H27">
        <v>0</v>
      </c>
      <c r="I27">
        <f>2*1.2*(1+2.5)</f>
        <v>8.4</v>
      </c>
      <c r="L27">
        <f>Constants!$B$2</f>
        <v>2.8</v>
      </c>
      <c r="M27" t="str">
        <f t="shared" si="30"/>
        <v>N/A</v>
      </c>
      <c r="N27">
        <f>P27*Constants!$E$2</f>
        <v>0</v>
      </c>
      <c r="P27">
        <f t="shared" si="31"/>
        <v>0</v>
      </c>
      <c r="Q27">
        <f>P27*Constants!$B$3</f>
        <v>0</v>
      </c>
      <c r="R27">
        <f t="shared" si="32"/>
        <v>0</v>
      </c>
      <c r="S27">
        <f t="shared" si="33"/>
        <v>8.4</v>
      </c>
      <c r="T27">
        <f>S27*Constants!$B$2</f>
        <v>23.52</v>
      </c>
      <c r="V27">
        <f t="shared" si="34"/>
        <v>0</v>
      </c>
      <c r="W27">
        <f t="shared" si="35"/>
        <v>0</v>
      </c>
      <c r="AA27" s="8"/>
      <c r="AJ27" s="4"/>
    </row>
    <row r="28" spans="1:36" x14ac:dyDescent="0.25">
      <c r="A28">
        <v>27</v>
      </c>
      <c r="B28">
        <v>9</v>
      </c>
      <c r="C28" t="s">
        <v>64</v>
      </c>
      <c r="D28" s="16" t="s">
        <v>370</v>
      </c>
      <c r="F28">
        <v>2.93</v>
      </c>
      <c r="G28" t="s">
        <v>44</v>
      </c>
      <c r="H28">
        <v>0</v>
      </c>
      <c r="I28">
        <f>2*1.2*(1+2.5)</f>
        <v>8.4</v>
      </c>
      <c r="L28">
        <f>Constants!$B$2</f>
        <v>2.8</v>
      </c>
      <c r="M28" t="str">
        <f t="shared" si="30"/>
        <v>N/A</v>
      </c>
      <c r="N28">
        <f>P28*Constants!$E$2</f>
        <v>0</v>
      </c>
      <c r="P28">
        <f t="shared" si="31"/>
        <v>0</v>
      </c>
      <c r="Q28">
        <f>P28*Constants!$B$3</f>
        <v>0</v>
      </c>
      <c r="R28">
        <f t="shared" si="32"/>
        <v>0</v>
      </c>
      <c r="S28">
        <f t="shared" si="33"/>
        <v>8.4</v>
      </c>
      <c r="T28">
        <f>S28*Constants!$B$2</f>
        <v>23.52</v>
      </c>
      <c r="V28">
        <f t="shared" si="34"/>
        <v>0</v>
      </c>
      <c r="W28">
        <f t="shared" si="35"/>
        <v>0</v>
      </c>
      <c r="AA28" s="8"/>
      <c r="AJ28" s="4"/>
    </row>
    <row r="29" spans="1:36" x14ac:dyDescent="0.25">
      <c r="A29">
        <v>28</v>
      </c>
      <c r="B29">
        <v>9</v>
      </c>
      <c r="C29" t="s">
        <v>62</v>
      </c>
      <c r="D29" s="16" t="s">
        <v>367</v>
      </c>
      <c r="E29" s="16"/>
      <c r="F29">
        <v>20.57</v>
      </c>
      <c r="G29">
        <v>180</v>
      </c>
      <c r="H29">
        <v>4</v>
      </c>
      <c r="I29">
        <f>2*(5.6+4)</f>
        <v>19.2</v>
      </c>
      <c r="L29">
        <f>Constants!$B$2</f>
        <v>2.8</v>
      </c>
      <c r="M29">
        <f t="shared" si="30"/>
        <v>180</v>
      </c>
      <c r="N29">
        <f>P29*Constants!$E$2</f>
        <v>6.8</v>
      </c>
      <c r="P29">
        <f t="shared" si="31"/>
        <v>4</v>
      </c>
      <c r="Q29">
        <f>P29*Constants!$B$3</f>
        <v>16.799999999999997</v>
      </c>
      <c r="R29">
        <f t="shared" si="32"/>
        <v>9.9999999999999964</v>
      </c>
      <c r="S29">
        <f t="shared" si="33"/>
        <v>15.2</v>
      </c>
      <c r="T29">
        <f>S29*Constants!$B$2</f>
        <v>42.559999999999995</v>
      </c>
      <c r="V29">
        <f t="shared" si="34"/>
        <v>0</v>
      </c>
      <c r="W29">
        <f t="shared" si="35"/>
        <v>0</v>
      </c>
      <c r="AA29" s="8"/>
      <c r="AJ29" s="4"/>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4"/>
    </row>
    <row r="423" spans="4:4" x14ac:dyDescent="0.25">
      <c r="D423" s="14"/>
    </row>
    <row r="424" spans="4:4" x14ac:dyDescent="0.25">
      <c r="D424" s="13"/>
    </row>
    <row r="425" spans="4:4" x14ac:dyDescent="0.25">
      <c r="D425" s="13"/>
    </row>
    <row r="426" spans="4:4" x14ac:dyDescent="0.25">
      <c r="D426" s="13"/>
    </row>
    <row r="427" spans="4:4" x14ac:dyDescent="0.25">
      <c r="D427" s="13"/>
    </row>
    <row r="428" spans="4:4" x14ac:dyDescent="0.25">
      <c r="D428" s="13"/>
    </row>
    <row r="429" spans="4:4" x14ac:dyDescent="0.25">
      <c r="D429" s="13"/>
    </row>
    <row r="430" spans="4:4" x14ac:dyDescent="0.25">
      <c r="D430" s="13"/>
    </row>
    <row r="431" spans="4:4" x14ac:dyDescent="0.25">
      <c r="D431" s="13"/>
    </row>
  </sheetData>
  <phoneticPr fontId="5" type="noConversion"/>
  <pageMargins left="0.7" right="0.7" top="0.78740157499999996" bottom="0.78740157499999996"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22"/>
  <sheetViews>
    <sheetView zoomScaleNormal="100" workbookViewId="0">
      <pane xSplit="4" ySplit="1" topLeftCell="E2" activePane="bottomRight" state="frozen"/>
      <selection pane="topRight" activeCell="F1" sqref="F1"/>
      <selection pane="bottomLeft" activeCell="A2" sqref="A2"/>
      <selection pane="bottomRight" activeCell="D25" sqref="D2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62</v>
      </c>
      <c r="D2" s="16" t="s">
        <v>371</v>
      </c>
      <c r="F2">
        <v>20.56</v>
      </c>
      <c r="G2">
        <v>0</v>
      </c>
      <c r="H2">
        <v>4</v>
      </c>
      <c r="I2">
        <f>2*(4+6.4)</f>
        <v>20.8</v>
      </c>
      <c r="L2">
        <f>Constants!$B$2</f>
        <v>2.8</v>
      </c>
      <c r="M2">
        <f t="shared" ref="M2:M16" si="0">IF(N2&gt;0,G2,"N/A")</f>
        <v>0</v>
      </c>
      <c r="N2">
        <f>P2*Constants!$E$2</f>
        <v>6.8</v>
      </c>
      <c r="P2">
        <f>H2</f>
        <v>4</v>
      </c>
      <c r="Q2">
        <f>P2*Constants!$B$3</f>
        <v>16.799999999999997</v>
      </c>
      <c r="R2">
        <f>IF(Q2-N2&lt;=0, 0, Q2-N2)</f>
        <v>9.9999999999999964</v>
      </c>
      <c r="S2">
        <f>I2-P2</f>
        <v>16.8</v>
      </c>
      <c r="T2">
        <f>S2*Constants!$B$2</f>
        <v>47.04</v>
      </c>
      <c r="V2">
        <f>IF(B2="E",1,0)</f>
        <v>0</v>
      </c>
      <c r="W2">
        <f>IF(B2=10,1,0)</f>
        <v>0</v>
      </c>
      <c r="AA2" s="8"/>
      <c r="AJ2" s="4"/>
    </row>
    <row r="3" spans="1:40" x14ac:dyDescent="0.25">
      <c r="A3">
        <v>2</v>
      </c>
      <c r="B3">
        <v>9</v>
      </c>
      <c r="C3" t="s">
        <v>64</v>
      </c>
      <c r="D3" s="16" t="s">
        <v>372</v>
      </c>
      <c r="F3">
        <v>3.72</v>
      </c>
      <c r="G3" t="s">
        <v>44</v>
      </c>
      <c r="H3">
        <v>0</v>
      </c>
      <c r="I3">
        <f>2*(3.5+1.3)</f>
        <v>9.6</v>
      </c>
      <c r="L3">
        <f>Constants!$B$2</f>
        <v>2.8</v>
      </c>
      <c r="M3" t="str">
        <f t="shared" si="0"/>
        <v>N/A</v>
      </c>
      <c r="N3">
        <f>P3*Constants!$E$2</f>
        <v>0</v>
      </c>
      <c r="P3">
        <f t="shared" ref="P3:P15" si="1">H3</f>
        <v>0</v>
      </c>
      <c r="Q3">
        <f>P3*Constants!$B$3</f>
        <v>0</v>
      </c>
      <c r="R3">
        <f t="shared" ref="R3:R22" si="2">IF(Q3-N3&lt;=0, 0, Q3-N3)</f>
        <v>0</v>
      </c>
      <c r="S3">
        <f t="shared" ref="S3:S15" si="3">I3-P3</f>
        <v>9.6</v>
      </c>
      <c r="T3">
        <f>S3*Constants!$B$2</f>
        <v>26.88</v>
      </c>
      <c r="V3">
        <f t="shared" ref="V3:V16" si="4">IF(B3="E",1,0)</f>
        <v>0</v>
      </c>
      <c r="W3">
        <f t="shared" ref="W3:W16" si="5">IF(B3=10,1,0)</f>
        <v>0</v>
      </c>
      <c r="AA3" s="8"/>
      <c r="AJ3" s="4"/>
    </row>
    <row r="4" spans="1:40" x14ac:dyDescent="0.25">
      <c r="A4">
        <v>3</v>
      </c>
      <c r="B4">
        <v>9</v>
      </c>
      <c r="C4" t="s">
        <v>64</v>
      </c>
      <c r="D4" s="16" t="s">
        <v>373</v>
      </c>
      <c r="F4">
        <v>3.72</v>
      </c>
      <c r="G4" t="s">
        <v>44</v>
      </c>
      <c r="H4">
        <v>0</v>
      </c>
      <c r="I4">
        <f>2*(3.5+1.3)</f>
        <v>9.6</v>
      </c>
      <c r="L4">
        <f>Constants!$B$2</f>
        <v>2.8</v>
      </c>
      <c r="M4" t="str">
        <f t="shared" si="0"/>
        <v>N/A</v>
      </c>
      <c r="N4">
        <f>P4*Constants!$E$2</f>
        <v>0</v>
      </c>
      <c r="P4">
        <f t="shared" si="1"/>
        <v>0</v>
      </c>
      <c r="Q4">
        <f>P4*Constants!$B$3</f>
        <v>0</v>
      </c>
      <c r="R4">
        <f t="shared" si="2"/>
        <v>0</v>
      </c>
      <c r="S4">
        <f t="shared" si="3"/>
        <v>9.6</v>
      </c>
      <c r="T4">
        <f>S4*Constants!$B$2</f>
        <v>26.88</v>
      </c>
      <c r="V4">
        <f t="shared" si="4"/>
        <v>0</v>
      </c>
      <c r="W4">
        <f t="shared" si="5"/>
        <v>0</v>
      </c>
      <c r="AA4" s="8"/>
      <c r="AJ4" s="4"/>
    </row>
    <row r="5" spans="1:40" x14ac:dyDescent="0.25">
      <c r="A5">
        <v>4</v>
      </c>
      <c r="B5">
        <v>9</v>
      </c>
      <c r="C5" t="s">
        <v>64</v>
      </c>
      <c r="D5" s="16" t="s">
        <v>374</v>
      </c>
      <c r="F5">
        <f>1.61+1.51</f>
        <v>3.12</v>
      </c>
      <c r="G5">
        <v>270</v>
      </c>
      <c r="H5">
        <v>2.4</v>
      </c>
      <c r="I5">
        <f>5.01+5.21-1.4*2</f>
        <v>7.419999999999999</v>
      </c>
      <c r="L5">
        <f>Constants!$B$2</f>
        <v>2.8</v>
      </c>
      <c r="M5">
        <f t="shared" si="0"/>
        <v>270</v>
      </c>
      <c r="N5">
        <f>P5*Constants!$E$2</f>
        <v>4.08</v>
      </c>
      <c r="P5">
        <f t="shared" si="1"/>
        <v>2.4</v>
      </c>
      <c r="Q5">
        <f>P5*Constants!$B$3</f>
        <v>10.079999999999998</v>
      </c>
      <c r="R5">
        <f t="shared" si="2"/>
        <v>5.9999999999999982</v>
      </c>
      <c r="S5">
        <f t="shared" si="3"/>
        <v>5.0199999999999996</v>
      </c>
      <c r="T5">
        <f>S5*Constants!$B$2</f>
        <v>14.055999999999997</v>
      </c>
      <c r="V5">
        <f t="shared" si="4"/>
        <v>0</v>
      </c>
      <c r="W5">
        <f t="shared" si="5"/>
        <v>0</v>
      </c>
      <c r="AA5" s="8"/>
      <c r="AJ5" s="4"/>
    </row>
    <row r="6" spans="1:40" x14ac:dyDescent="0.25">
      <c r="A6">
        <v>5</v>
      </c>
      <c r="B6">
        <v>9</v>
      </c>
      <c r="C6" t="s">
        <v>64</v>
      </c>
      <c r="D6" s="16" t="s">
        <v>375</v>
      </c>
      <c r="F6">
        <f>1.61+1.51</f>
        <v>3.12</v>
      </c>
      <c r="G6" t="s">
        <v>44</v>
      </c>
      <c r="H6">
        <v>0</v>
      </c>
      <c r="I6">
        <f>5.01+5.21-1.4*2</f>
        <v>7.419999999999999</v>
      </c>
      <c r="L6">
        <f>Constants!$B$2</f>
        <v>2.8</v>
      </c>
      <c r="M6" t="str">
        <f t="shared" si="0"/>
        <v>N/A</v>
      </c>
      <c r="N6">
        <f>P6*Constants!$E$2</f>
        <v>0</v>
      </c>
      <c r="P6">
        <f t="shared" si="1"/>
        <v>0</v>
      </c>
      <c r="Q6">
        <f>P6*Constants!$B$3</f>
        <v>0</v>
      </c>
      <c r="R6">
        <f t="shared" si="2"/>
        <v>0</v>
      </c>
      <c r="S6">
        <f t="shared" si="3"/>
        <v>7.419999999999999</v>
      </c>
      <c r="T6">
        <f>S6*Constants!$B$2</f>
        <v>20.775999999999996</v>
      </c>
      <c r="V6">
        <f t="shared" si="4"/>
        <v>0</v>
      </c>
      <c r="W6">
        <f t="shared" si="5"/>
        <v>0</v>
      </c>
      <c r="AA6" s="8"/>
      <c r="AJ6" s="4"/>
    </row>
    <row r="7" spans="1:40" x14ac:dyDescent="0.25">
      <c r="A7">
        <v>6</v>
      </c>
      <c r="B7">
        <v>9</v>
      </c>
      <c r="C7" t="s">
        <v>64</v>
      </c>
      <c r="D7" s="16" t="s">
        <v>376</v>
      </c>
      <c r="F7">
        <v>5.32</v>
      </c>
      <c r="G7" t="s">
        <v>44</v>
      </c>
      <c r="H7">
        <v>0</v>
      </c>
      <c r="I7">
        <v>9.4499999999999993</v>
      </c>
      <c r="L7">
        <f>Constants!$B$2</f>
        <v>2.8</v>
      </c>
      <c r="M7" t="str">
        <f t="shared" si="0"/>
        <v>N/A</v>
      </c>
      <c r="N7">
        <f>P7*Constants!$E$2</f>
        <v>0</v>
      </c>
      <c r="P7">
        <f t="shared" si="1"/>
        <v>0</v>
      </c>
      <c r="Q7">
        <f>P7*Constants!$B$3</f>
        <v>0</v>
      </c>
      <c r="R7">
        <f t="shared" si="2"/>
        <v>0</v>
      </c>
      <c r="S7">
        <f t="shared" si="3"/>
        <v>9.4499999999999993</v>
      </c>
      <c r="T7">
        <f>S7*Constants!$B$2</f>
        <v>26.459999999999997</v>
      </c>
      <c r="V7">
        <f t="shared" si="4"/>
        <v>0</v>
      </c>
      <c r="W7">
        <f t="shared" si="5"/>
        <v>0</v>
      </c>
      <c r="AA7" s="8"/>
      <c r="AJ7" s="4"/>
    </row>
    <row r="8" spans="1:40" x14ac:dyDescent="0.25">
      <c r="A8">
        <v>7</v>
      </c>
      <c r="B8">
        <v>9</v>
      </c>
      <c r="C8" t="s">
        <v>54</v>
      </c>
      <c r="D8" s="16" t="s">
        <v>377</v>
      </c>
      <c r="E8" s="16"/>
      <c r="F8">
        <v>18.100000000000001</v>
      </c>
      <c r="G8">
        <v>0</v>
      </c>
      <c r="H8">
        <v>3.6</v>
      </c>
      <c r="I8">
        <v>19.12</v>
      </c>
      <c r="L8">
        <f>Constants!$B$2</f>
        <v>2.8</v>
      </c>
      <c r="M8">
        <f t="shared" si="0"/>
        <v>0</v>
      </c>
      <c r="N8">
        <f>P8*Constants!$E$2</f>
        <v>6.12</v>
      </c>
      <c r="P8">
        <f t="shared" si="1"/>
        <v>3.6</v>
      </c>
      <c r="Q8">
        <f>P8*Constants!$B$3</f>
        <v>15.119999999999997</v>
      </c>
      <c r="R8">
        <f t="shared" si="2"/>
        <v>8.9999999999999964</v>
      </c>
      <c r="S8">
        <f t="shared" si="3"/>
        <v>15.520000000000001</v>
      </c>
      <c r="T8">
        <f>S8*Constants!$B$2</f>
        <v>43.456000000000003</v>
      </c>
      <c r="V8">
        <f t="shared" si="4"/>
        <v>0</v>
      </c>
      <c r="W8">
        <f t="shared" si="5"/>
        <v>0</v>
      </c>
      <c r="AA8" s="8"/>
      <c r="AJ8" s="4"/>
    </row>
    <row r="9" spans="1:40" x14ac:dyDescent="0.25">
      <c r="A9">
        <v>8</v>
      </c>
      <c r="B9">
        <v>9</v>
      </c>
      <c r="C9" t="s">
        <v>67</v>
      </c>
      <c r="D9" s="16" t="s">
        <v>392</v>
      </c>
      <c r="E9" s="16" t="s">
        <v>377</v>
      </c>
      <c r="F9">
        <v>15.46</v>
      </c>
      <c r="G9">
        <v>0</v>
      </c>
      <c r="H9">
        <v>3.6</v>
      </c>
      <c r="I9">
        <v>17.399999999999999</v>
      </c>
      <c r="L9">
        <f>Constants!$B$2</f>
        <v>2.8</v>
      </c>
      <c r="M9">
        <f t="shared" si="0"/>
        <v>0</v>
      </c>
      <c r="N9">
        <f>P9*Constants!$E$2</f>
        <v>6.12</v>
      </c>
      <c r="P9">
        <f t="shared" si="1"/>
        <v>3.6</v>
      </c>
      <c r="Q9">
        <f>P9*Constants!$B$3</f>
        <v>15.119999999999997</v>
      </c>
      <c r="R9">
        <f t="shared" si="2"/>
        <v>8.9999999999999964</v>
      </c>
      <c r="S9">
        <f t="shared" si="3"/>
        <v>13.799999999999999</v>
      </c>
      <c r="T9">
        <f>S9*Constants!$B$2</f>
        <v>38.639999999999993</v>
      </c>
      <c r="V9">
        <f t="shared" si="4"/>
        <v>0</v>
      </c>
      <c r="W9">
        <f t="shared" si="5"/>
        <v>0</v>
      </c>
      <c r="AA9" s="8"/>
      <c r="AJ9" s="4"/>
    </row>
    <row r="10" spans="1:40" x14ac:dyDescent="0.25">
      <c r="A10">
        <v>9</v>
      </c>
      <c r="B10">
        <v>9</v>
      </c>
      <c r="C10" t="s">
        <v>55</v>
      </c>
      <c r="D10" s="16" t="s">
        <v>378</v>
      </c>
      <c r="F10">
        <v>1.66</v>
      </c>
      <c r="G10" t="s">
        <v>44</v>
      </c>
      <c r="H10">
        <v>0</v>
      </c>
      <c r="I10">
        <f>2*1.2*(1+1.4)</f>
        <v>5.76</v>
      </c>
      <c r="L10">
        <f>Constants!$B$2</f>
        <v>2.8</v>
      </c>
      <c r="M10" t="str">
        <f t="shared" ref="M10" si="6">IF(N10&gt;0,G10,"N/A")</f>
        <v>N/A</v>
      </c>
      <c r="N10">
        <f>P10*Constants!$E$2</f>
        <v>0</v>
      </c>
      <c r="P10">
        <f t="shared" ref="P10" si="7">H10</f>
        <v>0</v>
      </c>
      <c r="Q10">
        <f>P10*Constants!$B$3</f>
        <v>0</v>
      </c>
      <c r="R10">
        <f t="shared" ref="R10" si="8">IF(Q10-N10&lt;=0, 0, Q10-N10)</f>
        <v>0</v>
      </c>
      <c r="S10">
        <f t="shared" ref="S10" si="9">I10-P10</f>
        <v>5.76</v>
      </c>
      <c r="T10">
        <f>S10*Constants!$B$2</f>
        <v>16.128</v>
      </c>
      <c r="V10">
        <f t="shared" ref="V10" si="10">IF(B10="E",1,0)</f>
        <v>0</v>
      </c>
      <c r="W10">
        <f t="shared" ref="W10" si="11">IF(B10=10,1,0)</f>
        <v>0</v>
      </c>
      <c r="AA10" s="8"/>
      <c r="AJ10" s="4"/>
    </row>
    <row r="11" spans="1:40" x14ac:dyDescent="0.25">
      <c r="A11">
        <v>10</v>
      </c>
      <c r="B11">
        <v>9</v>
      </c>
      <c r="C11" t="s">
        <v>50</v>
      </c>
      <c r="D11" s="16" t="s">
        <v>379</v>
      </c>
      <c r="F11">
        <v>5</v>
      </c>
      <c r="G11" t="s">
        <v>44</v>
      </c>
      <c r="H11">
        <v>0</v>
      </c>
      <c r="I11">
        <v>8.9499999999999993</v>
      </c>
      <c r="L11">
        <f>Constants!$B$2</f>
        <v>2.8</v>
      </c>
      <c r="M11" t="str">
        <f t="shared" si="0"/>
        <v>N/A</v>
      </c>
      <c r="N11">
        <f>P11*Constants!$E$2</f>
        <v>0</v>
      </c>
      <c r="P11">
        <f t="shared" si="1"/>
        <v>0</v>
      </c>
      <c r="Q11">
        <f>P11*Constants!$B$3</f>
        <v>0</v>
      </c>
      <c r="R11">
        <f t="shared" si="2"/>
        <v>0</v>
      </c>
      <c r="S11">
        <f t="shared" si="3"/>
        <v>8.9499999999999993</v>
      </c>
      <c r="T11">
        <f>S11*Constants!$B$2</f>
        <v>25.059999999999995</v>
      </c>
      <c r="V11">
        <f t="shared" si="4"/>
        <v>0</v>
      </c>
      <c r="W11">
        <f t="shared" si="5"/>
        <v>0</v>
      </c>
      <c r="AA11" s="8"/>
      <c r="AJ11" s="4"/>
    </row>
    <row r="12" spans="1:40" x14ac:dyDescent="0.25">
      <c r="A12">
        <v>11</v>
      </c>
      <c r="B12">
        <v>9</v>
      </c>
      <c r="C12" t="s">
        <v>55</v>
      </c>
      <c r="D12" s="16" t="s">
        <v>380</v>
      </c>
      <c r="F12">
        <v>50.41</v>
      </c>
      <c r="G12">
        <v>0</v>
      </c>
      <c r="H12">
        <v>6</v>
      </c>
      <c r="I12">
        <f>2*1.2*(5+9)</f>
        <v>33.6</v>
      </c>
      <c r="L12">
        <f>Constants!$B$2</f>
        <v>2.8</v>
      </c>
      <c r="M12">
        <f t="shared" si="0"/>
        <v>0</v>
      </c>
      <c r="N12">
        <f>P12*Constants!$E$2</f>
        <v>10.199999999999999</v>
      </c>
      <c r="P12">
        <f t="shared" si="1"/>
        <v>6</v>
      </c>
      <c r="Q12">
        <f>P12*Constants!$B$3</f>
        <v>25.199999999999996</v>
      </c>
      <c r="R12">
        <f t="shared" si="2"/>
        <v>14.999999999999996</v>
      </c>
      <c r="S12">
        <f t="shared" si="3"/>
        <v>27.6</v>
      </c>
      <c r="T12">
        <f>S12*Constants!$B$2</f>
        <v>77.28</v>
      </c>
      <c r="V12">
        <f t="shared" si="4"/>
        <v>0</v>
      </c>
      <c r="W12">
        <f t="shared" si="5"/>
        <v>0</v>
      </c>
      <c r="AA12" s="8"/>
      <c r="AJ12" s="4"/>
    </row>
    <row r="13" spans="1:40" x14ac:dyDescent="0.25">
      <c r="A13">
        <v>12</v>
      </c>
      <c r="B13">
        <v>9</v>
      </c>
      <c r="C13" t="s">
        <v>62</v>
      </c>
      <c r="D13" s="16" t="s">
        <v>381</v>
      </c>
      <c r="E13" s="16"/>
      <c r="F13">
        <v>20.399999999999999</v>
      </c>
      <c r="G13">
        <v>0</v>
      </c>
      <c r="H13">
        <v>4</v>
      </c>
      <c r="I13">
        <f>2*(4+6.4)</f>
        <v>20.8</v>
      </c>
      <c r="L13">
        <f>Constants!$B$2</f>
        <v>2.8</v>
      </c>
      <c r="M13">
        <f t="shared" si="0"/>
        <v>0</v>
      </c>
      <c r="N13">
        <f>P13*Constants!$E$2</f>
        <v>6.8</v>
      </c>
      <c r="P13">
        <f t="shared" si="1"/>
        <v>4</v>
      </c>
      <c r="Q13">
        <f>P13*Constants!$B$3</f>
        <v>16.799999999999997</v>
      </c>
      <c r="R13">
        <f t="shared" si="2"/>
        <v>9.9999999999999964</v>
      </c>
      <c r="S13">
        <f t="shared" si="3"/>
        <v>16.8</v>
      </c>
      <c r="T13">
        <f>S13*Constants!$B$2</f>
        <v>47.04</v>
      </c>
      <c r="V13">
        <f t="shared" si="4"/>
        <v>0</v>
      </c>
      <c r="W13">
        <f t="shared" si="5"/>
        <v>0</v>
      </c>
      <c r="AA13" s="8"/>
      <c r="AJ13" s="4"/>
    </row>
    <row r="14" spans="1:40" x14ac:dyDescent="0.25">
      <c r="A14">
        <v>13</v>
      </c>
      <c r="B14">
        <v>9</v>
      </c>
      <c r="C14" t="s">
        <v>64</v>
      </c>
      <c r="D14" s="16" t="s">
        <v>382</v>
      </c>
      <c r="F14">
        <v>3.72</v>
      </c>
      <c r="G14" t="s">
        <v>44</v>
      </c>
      <c r="H14">
        <v>0</v>
      </c>
      <c r="I14">
        <f>2*(3.3+1.3)</f>
        <v>9.1999999999999993</v>
      </c>
      <c r="L14">
        <f>Constants!$B$2</f>
        <v>2.8</v>
      </c>
      <c r="M14" t="str">
        <f t="shared" si="0"/>
        <v>N/A</v>
      </c>
      <c r="N14">
        <f>P14*Constants!$E$2</f>
        <v>0</v>
      </c>
      <c r="P14">
        <f t="shared" si="1"/>
        <v>0</v>
      </c>
      <c r="Q14">
        <f>P14*Constants!$B$3</f>
        <v>0</v>
      </c>
      <c r="R14">
        <f t="shared" si="2"/>
        <v>0</v>
      </c>
      <c r="S14">
        <f t="shared" si="3"/>
        <v>9.1999999999999993</v>
      </c>
      <c r="T14">
        <f>S14*Constants!$B$2</f>
        <v>25.759999999999998</v>
      </c>
      <c r="V14">
        <f t="shared" si="4"/>
        <v>0</v>
      </c>
      <c r="W14">
        <f t="shared" si="5"/>
        <v>0</v>
      </c>
      <c r="AA14" s="8"/>
      <c r="AJ14" s="4"/>
    </row>
    <row r="15" spans="1:40" x14ac:dyDescent="0.25">
      <c r="A15">
        <v>14</v>
      </c>
      <c r="B15">
        <v>9</v>
      </c>
      <c r="C15" t="s">
        <v>64</v>
      </c>
      <c r="D15" s="16" t="s">
        <v>383</v>
      </c>
      <c r="F15">
        <v>3.72</v>
      </c>
      <c r="G15" t="s">
        <v>44</v>
      </c>
      <c r="H15">
        <v>0</v>
      </c>
      <c r="I15">
        <f>2*(3.3+1.3)</f>
        <v>9.1999999999999993</v>
      </c>
      <c r="L15">
        <f>Constants!$B$2</f>
        <v>2.8</v>
      </c>
      <c r="M15" t="str">
        <f t="shared" si="0"/>
        <v>N/A</v>
      </c>
      <c r="N15">
        <f>P15*Constants!$E$2</f>
        <v>0</v>
      </c>
      <c r="P15">
        <f t="shared" si="1"/>
        <v>0</v>
      </c>
      <c r="Q15">
        <f>P15*Constants!$B$3</f>
        <v>0</v>
      </c>
      <c r="R15">
        <f t="shared" si="2"/>
        <v>0</v>
      </c>
      <c r="S15">
        <f t="shared" si="3"/>
        <v>9.1999999999999993</v>
      </c>
      <c r="T15">
        <f>S15*Constants!$B$2</f>
        <v>25.759999999999998</v>
      </c>
      <c r="V15">
        <f t="shared" si="4"/>
        <v>0</v>
      </c>
      <c r="W15">
        <f t="shared" si="5"/>
        <v>0</v>
      </c>
      <c r="AA15" s="8"/>
      <c r="AJ15" s="4"/>
    </row>
    <row r="16" spans="1:40" x14ac:dyDescent="0.25">
      <c r="A16">
        <v>15</v>
      </c>
      <c r="B16">
        <v>9</v>
      </c>
      <c r="C16" t="s">
        <v>64</v>
      </c>
      <c r="D16" s="16" t="s">
        <v>384</v>
      </c>
      <c r="E16" s="16"/>
      <c r="F16">
        <v>5.3</v>
      </c>
      <c r="G16" t="s">
        <v>44</v>
      </c>
      <c r="H16">
        <v>0</v>
      </c>
      <c r="I16">
        <v>9.4499999999999993</v>
      </c>
      <c r="L16">
        <f>Constants!$B$2</f>
        <v>2.8</v>
      </c>
      <c r="M16" t="str">
        <f t="shared" si="0"/>
        <v>N/A</v>
      </c>
      <c r="N16">
        <f>P16*Constants!$E$2</f>
        <v>0</v>
      </c>
      <c r="P16">
        <f>H16</f>
        <v>0</v>
      </c>
      <c r="Q16">
        <f>P16*Constants!$B$3</f>
        <v>0</v>
      </c>
      <c r="R16">
        <f t="shared" si="2"/>
        <v>0</v>
      </c>
      <c r="S16">
        <f>I16-P16</f>
        <v>9.4499999999999993</v>
      </c>
      <c r="T16">
        <f>S16*Constants!$B$2</f>
        <v>26.459999999999997</v>
      </c>
      <c r="V16">
        <f t="shared" si="4"/>
        <v>0</v>
      </c>
      <c r="W16">
        <f t="shared" si="5"/>
        <v>0</v>
      </c>
      <c r="AA16" s="8"/>
      <c r="AJ16" s="4"/>
    </row>
    <row r="17" spans="1:36" x14ac:dyDescent="0.25">
      <c r="A17">
        <v>16</v>
      </c>
      <c r="B17">
        <v>9</v>
      </c>
      <c r="C17" t="s">
        <v>64</v>
      </c>
      <c r="D17" s="16" t="s">
        <v>385</v>
      </c>
      <c r="E17" s="16"/>
      <c r="F17">
        <f>1.85+1.75</f>
        <v>3.6</v>
      </c>
      <c r="G17" t="s">
        <v>44</v>
      </c>
      <c r="H17">
        <v>0</v>
      </c>
      <c r="I17">
        <f>2*1.2*(2.05+1.5)</f>
        <v>8.52</v>
      </c>
      <c r="L17">
        <f>Constants!$B$2</f>
        <v>2.8</v>
      </c>
      <c r="M17" t="str">
        <f t="shared" ref="M17" si="12">IF(N17&gt;0,G17,"N/A")</f>
        <v>N/A</v>
      </c>
      <c r="N17">
        <f>P17*Constants!$E$2</f>
        <v>0</v>
      </c>
      <c r="P17">
        <f>H17</f>
        <v>0</v>
      </c>
      <c r="Q17">
        <f>P17*Constants!$B$3</f>
        <v>0</v>
      </c>
      <c r="R17">
        <f t="shared" ref="R17" si="13">IF(Q17-N17&lt;=0, 0, Q17-N17)</f>
        <v>0</v>
      </c>
      <c r="S17">
        <f>I17-P17</f>
        <v>8.52</v>
      </c>
      <c r="T17">
        <f>S17*Constants!$B$2</f>
        <v>23.855999999999998</v>
      </c>
      <c r="V17">
        <f t="shared" ref="V17" si="14">IF(B17="E",1,0)</f>
        <v>0</v>
      </c>
      <c r="W17">
        <f t="shared" ref="W17" si="15">IF(B17=10,1,0)</f>
        <v>0</v>
      </c>
      <c r="AA17" s="8"/>
      <c r="AJ17" s="4"/>
    </row>
    <row r="18" spans="1:36" x14ac:dyDescent="0.25">
      <c r="A18">
        <v>17</v>
      </c>
      <c r="B18">
        <v>9</v>
      </c>
      <c r="C18" t="s">
        <v>64</v>
      </c>
      <c r="D18" s="16" t="s">
        <v>386</v>
      </c>
      <c r="E18" s="16"/>
      <c r="F18">
        <f>1.85+1.75</f>
        <v>3.6</v>
      </c>
      <c r="G18" t="s">
        <v>44</v>
      </c>
      <c r="H18">
        <v>0</v>
      </c>
      <c r="I18">
        <f>2*1.2*(2.05+1.5)</f>
        <v>8.52</v>
      </c>
      <c r="L18">
        <f>Constants!$B$2</f>
        <v>2.8</v>
      </c>
      <c r="M18" t="str">
        <f t="shared" ref="M18:M20" si="16">IF(N18&gt;0,G18,"N/A")</f>
        <v>N/A</v>
      </c>
      <c r="N18">
        <f>P18*Constants!$E$2</f>
        <v>0</v>
      </c>
      <c r="P18">
        <f>H18</f>
        <v>0</v>
      </c>
      <c r="Q18">
        <f>P18*Constants!$B$3</f>
        <v>0</v>
      </c>
      <c r="R18">
        <f t="shared" ref="R18:R20" si="17">IF(Q18-N18&lt;=0, 0, Q18-N18)</f>
        <v>0</v>
      </c>
      <c r="S18">
        <f>I18-P18</f>
        <v>8.52</v>
      </c>
      <c r="T18">
        <f>S18*Constants!$B$2</f>
        <v>23.855999999999998</v>
      </c>
      <c r="V18">
        <f t="shared" ref="V18:V20" si="18">IF(B18="E",1,0)</f>
        <v>0</v>
      </c>
      <c r="W18">
        <f t="shared" ref="W18:W20" si="19">IF(B18=10,1,0)</f>
        <v>0</v>
      </c>
      <c r="AA18" s="8"/>
      <c r="AJ18" s="4"/>
    </row>
    <row r="19" spans="1:36" x14ac:dyDescent="0.25">
      <c r="A19">
        <v>18</v>
      </c>
      <c r="B19">
        <v>9</v>
      </c>
      <c r="C19" t="s">
        <v>54</v>
      </c>
      <c r="D19" s="16" t="s">
        <v>387</v>
      </c>
      <c r="E19" s="16"/>
      <c r="F19">
        <v>11.44</v>
      </c>
      <c r="G19">
        <v>0</v>
      </c>
      <c r="H19">
        <v>3</v>
      </c>
      <c r="I19">
        <v>14.02</v>
      </c>
      <c r="L19">
        <f>Constants!$B$2</f>
        <v>2.8</v>
      </c>
      <c r="M19">
        <f t="shared" si="16"/>
        <v>0</v>
      </c>
      <c r="N19">
        <f>P19*Constants!$E$2</f>
        <v>5.0999999999999996</v>
      </c>
      <c r="P19">
        <f>H19</f>
        <v>3</v>
      </c>
      <c r="Q19">
        <f>P19*Constants!$B$3</f>
        <v>12.599999999999998</v>
      </c>
      <c r="R19">
        <f t="shared" si="17"/>
        <v>7.4999999999999982</v>
      </c>
      <c r="S19">
        <f>I19-P19</f>
        <v>11.02</v>
      </c>
      <c r="T19">
        <f>S19*Constants!$B$2</f>
        <v>30.855999999999998</v>
      </c>
      <c r="V19">
        <f t="shared" si="18"/>
        <v>0</v>
      </c>
      <c r="W19">
        <f t="shared" si="19"/>
        <v>0</v>
      </c>
      <c r="AA19" s="8"/>
      <c r="AJ19" s="4"/>
    </row>
    <row r="20" spans="1:36" x14ac:dyDescent="0.25">
      <c r="A20">
        <v>19</v>
      </c>
      <c r="B20">
        <v>9</v>
      </c>
      <c r="C20" t="s">
        <v>67</v>
      </c>
      <c r="D20" s="16" t="s">
        <v>388</v>
      </c>
      <c r="E20" s="16"/>
      <c r="F20">
        <v>15.46</v>
      </c>
      <c r="G20">
        <v>0</v>
      </c>
      <c r="H20">
        <v>3</v>
      </c>
      <c r="I20">
        <v>17.399999999999999</v>
      </c>
      <c r="L20">
        <f>Constants!$B$2</f>
        <v>2.8</v>
      </c>
      <c r="M20">
        <f t="shared" si="16"/>
        <v>0</v>
      </c>
      <c r="N20">
        <f>P20*Constants!$E$2</f>
        <v>5.0999999999999996</v>
      </c>
      <c r="P20">
        <f>H20</f>
        <v>3</v>
      </c>
      <c r="Q20">
        <f>P20*Constants!$B$3</f>
        <v>12.599999999999998</v>
      </c>
      <c r="R20">
        <f t="shared" si="17"/>
        <v>7.4999999999999982</v>
      </c>
      <c r="S20">
        <f>I20-P20</f>
        <v>14.399999999999999</v>
      </c>
      <c r="T20">
        <f>S20*Constants!$B$2</f>
        <v>40.319999999999993</v>
      </c>
      <c r="V20">
        <f t="shared" si="18"/>
        <v>0</v>
      </c>
      <c r="W20">
        <f t="shared" si="19"/>
        <v>0</v>
      </c>
      <c r="AA20" s="8"/>
      <c r="AJ20" s="4"/>
    </row>
    <row r="21" spans="1:36" x14ac:dyDescent="0.25">
      <c r="A21">
        <v>20</v>
      </c>
      <c r="B21">
        <v>9</v>
      </c>
      <c r="C21" t="s">
        <v>55</v>
      </c>
      <c r="D21" s="16" t="s">
        <v>389</v>
      </c>
      <c r="F21">
        <v>1.67</v>
      </c>
      <c r="G21" t="s">
        <v>44</v>
      </c>
      <c r="H21">
        <v>0</v>
      </c>
      <c r="I21">
        <f>2*1.2*(1+1.2)</f>
        <v>5.28</v>
      </c>
      <c r="L21">
        <f>Constants!$B$2</f>
        <v>2.8</v>
      </c>
      <c r="M21" t="str">
        <f t="shared" ref="M21:M22" si="20">IF(N21&gt;0,G21,"N/A")</f>
        <v>N/A</v>
      </c>
      <c r="N21">
        <f>P21*Constants!$E$2</f>
        <v>0</v>
      </c>
      <c r="P21">
        <f t="shared" ref="P21:P22" si="21">H21</f>
        <v>0</v>
      </c>
      <c r="Q21">
        <f>P21*Constants!$B$3</f>
        <v>0</v>
      </c>
      <c r="R21">
        <f t="shared" si="2"/>
        <v>0</v>
      </c>
      <c r="S21">
        <f t="shared" ref="S21:S22" si="22">I21-P21</f>
        <v>5.28</v>
      </c>
      <c r="T21">
        <f>S21*Constants!$B$2</f>
        <v>14.783999999999999</v>
      </c>
      <c r="V21">
        <f t="shared" ref="V21:V22" si="23">IF(B21="E",1,0)</f>
        <v>0</v>
      </c>
      <c r="W21">
        <f t="shared" ref="W21:W22" si="24">IF(B21=10,1,0)</f>
        <v>0</v>
      </c>
      <c r="AA21" s="8"/>
      <c r="AJ21" s="4"/>
    </row>
    <row r="22" spans="1:36" x14ac:dyDescent="0.25">
      <c r="A22">
        <v>23</v>
      </c>
      <c r="B22">
        <v>9</v>
      </c>
      <c r="C22" t="s">
        <v>50</v>
      </c>
      <c r="D22" s="16" t="s">
        <v>390</v>
      </c>
      <c r="F22">
        <v>6.72</v>
      </c>
      <c r="G22" t="s">
        <v>44</v>
      </c>
      <c r="H22">
        <v>0</v>
      </c>
      <c r="I22">
        <v>11.15</v>
      </c>
      <c r="L22">
        <f>Constants!$B$2</f>
        <v>2.8</v>
      </c>
      <c r="M22" t="str">
        <f t="shared" si="20"/>
        <v>N/A</v>
      </c>
      <c r="N22">
        <f>P22*Constants!$E$2</f>
        <v>0</v>
      </c>
      <c r="P22">
        <f t="shared" si="21"/>
        <v>0</v>
      </c>
      <c r="Q22">
        <f>P22*Constants!$B$3</f>
        <v>0</v>
      </c>
      <c r="R22">
        <f t="shared" si="2"/>
        <v>0</v>
      </c>
      <c r="S22">
        <f t="shared" si="22"/>
        <v>11.15</v>
      </c>
      <c r="T22">
        <f>S22*Constants!$B$2</f>
        <v>31.22</v>
      </c>
      <c r="V22">
        <f t="shared" si="23"/>
        <v>0</v>
      </c>
      <c r="W22">
        <f t="shared" si="24"/>
        <v>0</v>
      </c>
      <c r="AA22" s="8"/>
      <c r="AJ22" s="4"/>
    </row>
    <row r="23" spans="1:36" x14ac:dyDescent="0.25">
      <c r="A23">
        <v>24</v>
      </c>
      <c r="B23">
        <v>9</v>
      </c>
      <c r="C23" t="s">
        <v>55</v>
      </c>
      <c r="D23" s="16" t="s">
        <v>393</v>
      </c>
      <c r="E23" s="16"/>
      <c r="F23">
        <v>1.67</v>
      </c>
      <c r="G23" t="s">
        <v>44</v>
      </c>
      <c r="H23">
        <v>0</v>
      </c>
      <c r="I23">
        <f>2*1.2*(1+1.2)</f>
        <v>5.28</v>
      </c>
      <c r="L23">
        <f>Constants!$B$2</f>
        <v>2.8</v>
      </c>
      <c r="M23" t="str">
        <f t="shared" ref="M23:M26" si="25">IF(N23&gt;0,G23,"N/A")</f>
        <v>N/A</v>
      </c>
      <c r="N23">
        <f>P23*Constants!$E$2</f>
        <v>0</v>
      </c>
      <c r="P23">
        <f t="shared" ref="P23:P26" si="26">H23</f>
        <v>0</v>
      </c>
      <c r="Q23">
        <f>P23*Constants!$B$3</f>
        <v>0</v>
      </c>
      <c r="R23">
        <f t="shared" ref="R23:R26" si="27">IF(Q23-N23&lt;=0, 0, Q23-N23)</f>
        <v>0</v>
      </c>
      <c r="S23">
        <f t="shared" ref="S23:S26" si="28">I23-P23</f>
        <v>5.28</v>
      </c>
      <c r="T23">
        <f>S23*Constants!$B$2</f>
        <v>14.783999999999999</v>
      </c>
      <c r="V23">
        <f t="shared" ref="V23:V26" si="29">IF(B23="E",1,0)</f>
        <v>0</v>
      </c>
      <c r="W23">
        <f t="shared" ref="W23:W26" si="30">IF(B23=10,1,0)</f>
        <v>0</v>
      </c>
      <c r="AA23" s="8"/>
      <c r="AJ23" s="4"/>
    </row>
    <row r="24" spans="1:36" x14ac:dyDescent="0.25">
      <c r="A24">
        <v>25</v>
      </c>
      <c r="B24">
        <v>9</v>
      </c>
      <c r="C24" t="s">
        <v>54</v>
      </c>
      <c r="D24" s="16" t="s">
        <v>394</v>
      </c>
      <c r="E24" s="16"/>
      <c r="F24">
        <v>12.94</v>
      </c>
      <c r="G24" t="s">
        <v>44</v>
      </c>
      <c r="H24">
        <v>0</v>
      </c>
      <c r="I24">
        <v>14.4</v>
      </c>
      <c r="L24">
        <f>Constants!$B$2</f>
        <v>2.8</v>
      </c>
      <c r="M24" t="str">
        <f t="shared" si="25"/>
        <v>N/A</v>
      </c>
      <c r="N24">
        <f>P24*Constants!$E$2</f>
        <v>0</v>
      </c>
      <c r="P24">
        <f t="shared" si="26"/>
        <v>0</v>
      </c>
      <c r="Q24">
        <f>P24*Constants!$B$3</f>
        <v>0</v>
      </c>
      <c r="R24">
        <f t="shared" si="27"/>
        <v>0</v>
      </c>
      <c r="S24">
        <f t="shared" si="28"/>
        <v>14.4</v>
      </c>
      <c r="T24">
        <f>S24*Constants!$B$2</f>
        <v>40.32</v>
      </c>
      <c r="V24">
        <f t="shared" si="29"/>
        <v>0</v>
      </c>
      <c r="W24">
        <f t="shared" si="30"/>
        <v>0</v>
      </c>
      <c r="AA24" s="8"/>
      <c r="AJ24" s="4"/>
    </row>
    <row r="25" spans="1:36" x14ac:dyDescent="0.25">
      <c r="A25">
        <v>26</v>
      </c>
      <c r="B25">
        <v>9</v>
      </c>
      <c r="C25" t="s">
        <v>54</v>
      </c>
      <c r="D25" s="16" t="s">
        <v>396</v>
      </c>
      <c r="F25">
        <v>12.35</v>
      </c>
      <c r="G25">
        <v>90</v>
      </c>
      <c r="H25">
        <v>3.6</v>
      </c>
      <c r="I25">
        <v>14.06</v>
      </c>
      <c r="L25">
        <f>Constants!$B$2</f>
        <v>2.8</v>
      </c>
      <c r="M25">
        <f t="shared" si="25"/>
        <v>90</v>
      </c>
      <c r="N25">
        <f>P25*Constants!$E$2</f>
        <v>6.12</v>
      </c>
      <c r="P25">
        <f t="shared" si="26"/>
        <v>3.6</v>
      </c>
      <c r="Q25">
        <f>P25*Constants!$B$3</f>
        <v>15.119999999999997</v>
      </c>
      <c r="R25">
        <f t="shared" si="27"/>
        <v>8.9999999999999964</v>
      </c>
      <c r="S25">
        <f t="shared" si="28"/>
        <v>10.46</v>
      </c>
      <c r="T25">
        <f>S25*Constants!$B$2</f>
        <v>29.288</v>
      </c>
      <c r="V25">
        <f t="shared" si="29"/>
        <v>0</v>
      </c>
      <c r="W25">
        <f t="shared" si="30"/>
        <v>0</v>
      </c>
      <c r="AA25" s="8"/>
      <c r="AJ25" s="4"/>
    </row>
    <row r="26" spans="1:36" x14ac:dyDescent="0.25">
      <c r="A26">
        <v>27</v>
      </c>
      <c r="B26">
        <v>9</v>
      </c>
      <c r="C26" t="s">
        <v>45</v>
      </c>
      <c r="D26" s="16" t="s">
        <v>395</v>
      </c>
      <c r="E26" s="16"/>
      <c r="F26">
        <v>19.600000000000001</v>
      </c>
      <c r="G26" t="s">
        <v>44</v>
      </c>
      <c r="H26">
        <v>0</v>
      </c>
      <c r="I26">
        <v>18.600000000000001</v>
      </c>
      <c r="L26">
        <f>Constants!$B$2</f>
        <v>2.8</v>
      </c>
      <c r="M26" t="str">
        <f t="shared" si="25"/>
        <v>N/A</v>
      </c>
      <c r="N26">
        <f>P26*Constants!$E$2</f>
        <v>0</v>
      </c>
      <c r="P26">
        <f t="shared" si="26"/>
        <v>0</v>
      </c>
      <c r="Q26">
        <f>P26*Constants!$B$3</f>
        <v>0</v>
      </c>
      <c r="R26">
        <f t="shared" si="27"/>
        <v>0</v>
      </c>
      <c r="S26">
        <f t="shared" si="28"/>
        <v>18.600000000000001</v>
      </c>
      <c r="T26">
        <f>S26*Constants!$B$2</f>
        <v>52.08</v>
      </c>
      <c r="V26">
        <f t="shared" si="29"/>
        <v>0</v>
      </c>
      <c r="W26">
        <f t="shared" si="30"/>
        <v>0</v>
      </c>
      <c r="AA26" s="8"/>
      <c r="AJ26" s="4"/>
    </row>
    <row r="27" spans="1:36" x14ac:dyDescent="0.25">
      <c r="A27">
        <v>28</v>
      </c>
      <c r="B27">
        <v>9</v>
      </c>
      <c r="C27" t="s">
        <v>62</v>
      </c>
      <c r="D27" s="16" t="s">
        <v>391</v>
      </c>
      <c r="F27">
        <f>2.4*76</f>
        <v>182.4</v>
      </c>
      <c r="G27">
        <v>180</v>
      </c>
      <c r="H27">
        <f>10.2+17.8+6.7</f>
        <v>34.700000000000003</v>
      </c>
      <c r="I27">
        <f>2*(2.4+76)</f>
        <v>156.80000000000001</v>
      </c>
      <c r="L27">
        <f>Constants!$B$2</f>
        <v>2.8</v>
      </c>
      <c r="M27">
        <f t="shared" ref="M27" si="31">IF(N27&gt;0,G27,"N/A")</f>
        <v>180</v>
      </c>
      <c r="N27">
        <f>P27*Constants!$E$2</f>
        <v>58.99</v>
      </c>
      <c r="P27">
        <f t="shared" ref="P27" si="32">H27</f>
        <v>34.700000000000003</v>
      </c>
      <c r="Q27">
        <f>P27*Constants!$B$3</f>
        <v>145.73999999999998</v>
      </c>
      <c r="R27">
        <f t="shared" ref="R27" si="33">IF(Q27-N27&lt;=0, 0, Q27-N27)</f>
        <v>86.749999999999972</v>
      </c>
      <c r="S27">
        <f t="shared" ref="S27" si="34">I27-P27</f>
        <v>122.10000000000001</v>
      </c>
      <c r="T27">
        <f>S27*Constants!$B$2</f>
        <v>341.88</v>
      </c>
      <c r="V27">
        <f t="shared" ref="V27" si="35">IF(B27="E",1,0)</f>
        <v>0</v>
      </c>
      <c r="W27">
        <f t="shared" ref="W27" si="36">IF(B27=10,1,0)</f>
        <v>0</v>
      </c>
      <c r="AA27" s="8"/>
      <c r="AJ27" s="4"/>
    </row>
    <row r="28" spans="1:36" x14ac:dyDescent="0.25">
      <c r="D28" s="15"/>
    </row>
    <row r="29" spans="1:36" x14ac:dyDescent="0.25">
      <c r="D29" s="15"/>
    </row>
    <row r="30" spans="1:36" x14ac:dyDescent="0.25">
      <c r="D30" s="15"/>
    </row>
    <row r="31" spans="1:36" x14ac:dyDescent="0.25">
      <c r="D31" s="15"/>
    </row>
    <row r="32" spans="1:36" x14ac:dyDescent="0.25">
      <c r="D32" s="15"/>
    </row>
    <row r="33" spans="4:4" x14ac:dyDescent="0.25">
      <c r="D33" s="15"/>
    </row>
    <row r="34" spans="4:4" x14ac:dyDescent="0.25">
      <c r="D34" s="15"/>
    </row>
    <row r="35" spans="4:4" x14ac:dyDescent="0.25">
      <c r="D35" s="15"/>
    </row>
    <row r="36" spans="4:4" x14ac:dyDescent="0.25">
      <c r="D36" s="15"/>
    </row>
    <row r="37" spans="4:4" x14ac:dyDescent="0.25">
      <c r="D37" s="15"/>
    </row>
    <row r="38" spans="4:4" x14ac:dyDescent="0.25">
      <c r="D38" s="15"/>
    </row>
    <row r="39" spans="4:4" x14ac:dyDescent="0.25">
      <c r="D39" s="15"/>
    </row>
    <row r="40" spans="4:4" x14ac:dyDescent="0.25">
      <c r="D40" s="15"/>
    </row>
    <row r="41" spans="4:4" x14ac:dyDescent="0.25">
      <c r="D41" s="15"/>
    </row>
    <row r="42" spans="4:4" x14ac:dyDescent="0.25">
      <c r="D42" s="15"/>
    </row>
    <row r="43" spans="4:4" x14ac:dyDescent="0.25">
      <c r="D43" s="15"/>
    </row>
    <row r="44" spans="4:4" x14ac:dyDescent="0.25">
      <c r="D44" s="15"/>
    </row>
    <row r="45" spans="4:4" x14ac:dyDescent="0.25">
      <c r="D45" s="15"/>
    </row>
    <row r="46" spans="4:4" x14ac:dyDescent="0.25">
      <c r="D46" s="15"/>
    </row>
    <row r="47" spans="4:4" x14ac:dyDescent="0.25">
      <c r="D47" s="15"/>
    </row>
    <row r="48" spans="4:4"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4"/>
    </row>
    <row r="414" spans="4:4" x14ac:dyDescent="0.25">
      <c r="D414" s="14"/>
    </row>
    <row r="415" spans="4:4" x14ac:dyDescent="0.25">
      <c r="D415" s="13"/>
    </row>
    <row r="416" spans="4:4" x14ac:dyDescent="0.25">
      <c r="D416" s="13"/>
    </row>
    <row r="417" spans="4:4" x14ac:dyDescent="0.25">
      <c r="D417" s="13"/>
    </row>
    <row r="418" spans="4:4" x14ac:dyDescent="0.25">
      <c r="D418" s="13"/>
    </row>
    <row r="419" spans="4:4" x14ac:dyDescent="0.25">
      <c r="D419" s="13"/>
    </row>
    <row r="420" spans="4:4" x14ac:dyDescent="0.25">
      <c r="D420" s="13"/>
    </row>
    <row r="421" spans="4:4" x14ac:dyDescent="0.25">
      <c r="D421" s="13"/>
    </row>
    <row r="422" spans="4:4" x14ac:dyDescent="0.25">
      <c r="D422" s="13"/>
    </row>
  </sheetData>
  <phoneticPr fontId="5" type="noConversion"/>
  <pageMargins left="0.7" right="0.7" top="0.78740157499999996" bottom="0.78740157499999996"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24"/>
  <sheetViews>
    <sheetView zoomScaleNormal="100" workbookViewId="0">
      <pane xSplit="4" ySplit="1" topLeftCell="E11" activePane="bottomRight" state="frozen"/>
      <selection pane="topRight" activeCell="F1" sqref="F1"/>
      <selection pane="bottomLeft" activeCell="A2" sqref="A2"/>
      <selection pane="bottomRight" activeCell="C29" sqref="C29"/>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62</v>
      </c>
      <c r="D2" s="16" t="s">
        <v>397</v>
      </c>
      <c r="F2">
        <f>171*3</f>
        <v>513</v>
      </c>
      <c r="G2">
        <v>180</v>
      </c>
      <c r="H2">
        <f>13.6+23.6+8.5+3.6</f>
        <v>49.300000000000004</v>
      </c>
      <c r="I2">
        <f>2*(171+3)</f>
        <v>348</v>
      </c>
      <c r="L2">
        <f>Constants!$B$2</f>
        <v>2.8</v>
      </c>
      <c r="M2">
        <f t="shared" ref="M2:M36" si="0">IF(N2&gt;0,G2,"N/A")</f>
        <v>180</v>
      </c>
      <c r="N2">
        <f>P2*Constants!$E$2</f>
        <v>83.81</v>
      </c>
      <c r="P2">
        <f t="shared" ref="P2:P12" si="1">H2</f>
        <v>49.300000000000004</v>
      </c>
      <c r="Q2">
        <f>P2*Constants!$B$3</f>
        <v>207.05999999999997</v>
      </c>
      <c r="R2">
        <f t="shared" ref="R2:R12" si="2">IF(Q2-N2&lt;=0, 0, Q2-N2)</f>
        <v>123.24999999999997</v>
      </c>
      <c r="S2">
        <f t="shared" ref="S2:S12" si="3">I2-P2</f>
        <v>298.7</v>
      </c>
      <c r="T2">
        <f>S2*Constants!$B$2</f>
        <v>836.3599999999999</v>
      </c>
      <c r="V2">
        <f t="shared" ref="V2:V12" si="4">IF(B2="E",1,0)</f>
        <v>0</v>
      </c>
      <c r="W2">
        <f t="shared" ref="W2:W12" si="5">IF(B2=10,1,0)</f>
        <v>0</v>
      </c>
      <c r="AA2" s="8"/>
      <c r="AJ2" s="4"/>
    </row>
    <row r="3" spans="1:40" x14ac:dyDescent="0.25">
      <c r="A3">
        <v>2</v>
      </c>
      <c r="B3">
        <v>9</v>
      </c>
      <c r="C3" t="s">
        <v>67</v>
      </c>
      <c r="D3" s="16" t="s">
        <v>424</v>
      </c>
      <c r="E3" s="16" t="s">
        <v>407</v>
      </c>
      <c r="F3">
        <v>15.46</v>
      </c>
      <c r="G3">
        <v>0</v>
      </c>
      <c r="H3">
        <v>3.6</v>
      </c>
      <c r="I3">
        <v>17.399999999999999</v>
      </c>
      <c r="L3">
        <f>Constants!$B$2</f>
        <v>2.8</v>
      </c>
      <c r="M3">
        <f t="shared" ref="M3:M12" si="6">IF(N3&gt;0,G3,"N/A")</f>
        <v>0</v>
      </c>
      <c r="N3">
        <f>P3*Constants!$E$2</f>
        <v>6.12</v>
      </c>
      <c r="P3">
        <f t="shared" si="1"/>
        <v>3.6</v>
      </c>
      <c r="Q3">
        <f>P3*Constants!$B$3</f>
        <v>15.119999999999997</v>
      </c>
      <c r="R3">
        <f t="shared" si="2"/>
        <v>8.9999999999999964</v>
      </c>
      <c r="S3">
        <f t="shared" si="3"/>
        <v>13.799999999999999</v>
      </c>
      <c r="T3">
        <f>S3*Constants!$B$2</f>
        <v>38.639999999999993</v>
      </c>
      <c r="V3">
        <f t="shared" si="4"/>
        <v>0</v>
      </c>
      <c r="W3">
        <f t="shared" si="5"/>
        <v>0</v>
      </c>
      <c r="AA3" s="8"/>
      <c r="AJ3" s="4"/>
    </row>
    <row r="4" spans="1:40" x14ac:dyDescent="0.25">
      <c r="A4">
        <v>3</v>
      </c>
      <c r="B4">
        <v>9</v>
      </c>
      <c r="C4" t="s">
        <v>54</v>
      </c>
      <c r="D4" s="16" t="s">
        <v>407</v>
      </c>
      <c r="E4" s="16"/>
      <c r="F4">
        <v>16.52</v>
      </c>
      <c r="G4">
        <v>0</v>
      </c>
      <c r="H4">
        <v>3.6</v>
      </c>
      <c r="I4">
        <v>16.920000000000002</v>
      </c>
      <c r="L4">
        <f>Constants!$B$2</f>
        <v>2.8</v>
      </c>
      <c r="M4">
        <f t="shared" si="6"/>
        <v>0</v>
      </c>
      <c r="N4">
        <f>P4*Constants!$E$2</f>
        <v>6.12</v>
      </c>
      <c r="P4">
        <f t="shared" si="1"/>
        <v>3.6</v>
      </c>
      <c r="Q4">
        <f>P4*Constants!$B$3</f>
        <v>15.119999999999997</v>
      </c>
      <c r="R4">
        <f t="shared" si="2"/>
        <v>8.9999999999999964</v>
      </c>
      <c r="S4">
        <f t="shared" si="3"/>
        <v>13.320000000000002</v>
      </c>
      <c r="T4">
        <f>S4*Constants!$B$2</f>
        <v>37.296000000000006</v>
      </c>
      <c r="V4">
        <f t="shared" si="4"/>
        <v>0</v>
      </c>
      <c r="W4">
        <f t="shared" si="5"/>
        <v>0</v>
      </c>
      <c r="AA4" s="8"/>
      <c r="AJ4" s="4"/>
    </row>
    <row r="5" spans="1:40" x14ac:dyDescent="0.25">
      <c r="A5">
        <v>4</v>
      </c>
      <c r="B5">
        <v>9</v>
      </c>
      <c r="C5" t="s">
        <v>64</v>
      </c>
      <c r="D5" s="16" t="s">
        <v>398</v>
      </c>
      <c r="F5">
        <v>3.72</v>
      </c>
      <c r="G5" t="s">
        <v>44</v>
      </c>
      <c r="H5">
        <v>0</v>
      </c>
      <c r="I5">
        <f>2*(3.3+1.3)</f>
        <v>9.1999999999999993</v>
      </c>
      <c r="L5">
        <f>Constants!$B$2</f>
        <v>2.8</v>
      </c>
      <c r="M5" t="str">
        <f t="shared" si="6"/>
        <v>N/A</v>
      </c>
      <c r="N5">
        <f>P5*Constants!$E$2</f>
        <v>0</v>
      </c>
      <c r="P5">
        <f t="shared" si="1"/>
        <v>0</v>
      </c>
      <c r="Q5">
        <f>P5*Constants!$B$3</f>
        <v>0</v>
      </c>
      <c r="R5">
        <f t="shared" si="2"/>
        <v>0</v>
      </c>
      <c r="S5">
        <f t="shared" si="3"/>
        <v>9.1999999999999993</v>
      </c>
      <c r="T5">
        <f>S5*Constants!$B$2</f>
        <v>25.759999999999998</v>
      </c>
      <c r="V5">
        <f t="shared" si="4"/>
        <v>0</v>
      </c>
      <c r="W5">
        <f t="shared" si="5"/>
        <v>0</v>
      </c>
      <c r="AA5" s="8"/>
      <c r="AJ5" s="4"/>
    </row>
    <row r="6" spans="1:40" x14ac:dyDescent="0.25">
      <c r="A6">
        <v>5</v>
      </c>
      <c r="B6">
        <v>9</v>
      </c>
      <c r="C6" t="s">
        <v>64</v>
      </c>
      <c r="D6" s="16" t="s">
        <v>425</v>
      </c>
      <c r="F6">
        <v>3.72</v>
      </c>
      <c r="G6" t="s">
        <v>44</v>
      </c>
      <c r="H6">
        <v>0</v>
      </c>
      <c r="I6">
        <f>2*(3.3+1.3)</f>
        <v>9.1999999999999993</v>
      </c>
      <c r="L6">
        <f>Constants!$B$2</f>
        <v>2.8</v>
      </c>
      <c r="M6" t="str">
        <f t="shared" si="6"/>
        <v>N/A</v>
      </c>
      <c r="N6">
        <f>P6*Constants!$E$2</f>
        <v>0</v>
      </c>
      <c r="P6">
        <f t="shared" si="1"/>
        <v>0</v>
      </c>
      <c r="Q6">
        <f>P6*Constants!$B$3</f>
        <v>0</v>
      </c>
      <c r="R6">
        <f t="shared" si="2"/>
        <v>0</v>
      </c>
      <c r="S6">
        <f t="shared" si="3"/>
        <v>9.1999999999999993</v>
      </c>
      <c r="T6">
        <f>S6*Constants!$B$2</f>
        <v>25.759999999999998</v>
      </c>
      <c r="V6">
        <f t="shared" si="4"/>
        <v>0</v>
      </c>
      <c r="W6">
        <f t="shared" si="5"/>
        <v>0</v>
      </c>
      <c r="AA6" s="8"/>
      <c r="AJ6" s="4"/>
    </row>
    <row r="7" spans="1:40" x14ac:dyDescent="0.25">
      <c r="A7">
        <v>6</v>
      </c>
      <c r="B7">
        <v>9</v>
      </c>
      <c r="C7" t="s">
        <v>54</v>
      </c>
      <c r="D7" s="16" t="s">
        <v>426</v>
      </c>
      <c r="F7">
        <v>18.71</v>
      </c>
      <c r="G7">
        <v>0</v>
      </c>
      <c r="H7">
        <v>3</v>
      </c>
      <c r="I7">
        <f>2*1.2*(4+3.1)</f>
        <v>17.04</v>
      </c>
      <c r="L7">
        <f>Constants!$B$2</f>
        <v>2.8</v>
      </c>
      <c r="M7">
        <f t="shared" si="6"/>
        <v>0</v>
      </c>
      <c r="N7">
        <f>P7*Constants!$E$2</f>
        <v>5.0999999999999996</v>
      </c>
      <c r="P7">
        <f t="shared" si="1"/>
        <v>3</v>
      </c>
      <c r="Q7">
        <f>P7*Constants!$B$3</f>
        <v>12.599999999999998</v>
      </c>
      <c r="R7">
        <f t="shared" si="2"/>
        <v>7.4999999999999982</v>
      </c>
      <c r="S7">
        <f t="shared" si="3"/>
        <v>14.04</v>
      </c>
      <c r="T7">
        <f>S7*Constants!$B$2</f>
        <v>39.311999999999998</v>
      </c>
      <c r="V7">
        <f t="shared" si="4"/>
        <v>0</v>
      </c>
      <c r="W7">
        <f t="shared" si="5"/>
        <v>0</v>
      </c>
      <c r="AA7" s="8"/>
      <c r="AJ7" s="4"/>
    </row>
    <row r="8" spans="1:40" x14ac:dyDescent="0.25">
      <c r="A8">
        <v>7</v>
      </c>
      <c r="B8">
        <v>9</v>
      </c>
      <c r="C8" t="s">
        <v>45</v>
      </c>
      <c r="D8" s="16" t="s">
        <v>427</v>
      </c>
      <c r="F8">
        <v>23.44</v>
      </c>
      <c r="G8">
        <v>0</v>
      </c>
      <c r="H8">
        <v>2</v>
      </c>
      <c r="I8">
        <f>2*1.2*(5+4)</f>
        <v>21.599999999999998</v>
      </c>
      <c r="L8">
        <f>Constants!$B$2</f>
        <v>2.8</v>
      </c>
      <c r="M8">
        <f t="shared" si="6"/>
        <v>0</v>
      </c>
      <c r="N8">
        <f>P8*Constants!$E$2</f>
        <v>3.4</v>
      </c>
      <c r="P8">
        <f t="shared" si="1"/>
        <v>2</v>
      </c>
      <c r="Q8">
        <f>P8*Constants!$B$3</f>
        <v>8.3999999999999986</v>
      </c>
      <c r="R8">
        <f t="shared" si="2"/>
        <v>4.9999999999999982</v>
      </c>
      <c r="S8">
        <f t="shared" si="3"/>
        <v>19.599999999999998</v>
      </c>
      <c r="T8">
        <f>S8*Constants!$B$2</f>
        <v>54.879999999999988</v>
      </c>
      <c r="V8">
        <f t="shared" si="4"/>
        <v>0</v>
      </c>
      <c r="W8">
        <f t="shared" si="5"/>
        <v>0</v>
      </c>
      <c r="AA8" s="8"/>
      <c r="AJ8" s="4"/>
    </row>
    <row r="9" spans="1:40" x14ac:dyDescent="0.25">
      <c r="A9">
        <v>8</v>
      </c>
      <c r="B9">
        <v>9</v>
      </c>
      <c r="C9" t="s">
        <v>45</v>
      </c>
      <c r="D9" s="16" t="s">
        <v>400</v>
      </c>
      <c r="F9">
        <v>12.06</v>
      </c>
      <c r="G9" t="s">
        <v>44</v>
      </c>
      <c r="H9">
        <v>0</v>
      </c>
      <c r="I9">
        <f>2*1.2*(2+4)</f>
        <v>14.399999999999999</v>
      </c>
      <c r="L9">
        <f>Constants!$B$2</f>
        <v>2.8</v>
      </c>
      <c r="M9" t="str">
        <f t="shared" si="6"/>
        <v>N/A</v>
      </c>
      <c r="N9">
        <f>P9*Constants!$E$2</f>
        <v>0</v>
      </c>
      <c r="P9">
        <f t="shared" si="1"/>
        <v>0</v>
      </c>
      <c r="Q9">
        <f>P9*Constants!$B$3</f>
        <v>0</v>
      </c>
      <c r="R9">
        <f t="shared" si="2"/>
        <v>0</v>
      </c>
      <c r="S9">
        <f t="shared" si="3"/>
        <v>14.399999999999999</v>
      </c>
      <c r="T9">
        <f>S9*Constants!$B$2</f>
        <v>40.319999999999993</v>
      </c>
      <c r="V9">
        <f t="shared" si="4"/>
        <v>0</v>
      </c>
      <c r="W9">
        <f t="shared" si="5"/>
        <v>0</v>
      </c>
      <c r="AA9" s="8"/>
      <c r="AJ9" s="4"/>
    </row>
    <row r="10" spans="1:40" x14ac:dyDescent="0.25">
      <c r="A10">
        <v>9</v>
      </c>
      <c r="B10">
        <v>9</v>
      </c>
      <c r="C10" t="s">
        <v>55</v>
      </c>
      <c r="D10" s="16" t="s">
        <v>399</v>
      </c>
      <c r="F10">
        <v>29.88</v>
      </c>
      <c r="G10">
        <v>0</v>
      </c>
      <c r="H10">
        <v>1</v>
      </c>
      <c r="I10">
        <f>2*1.2*(5+5)</f>
        <v>24</v>
      </c>
      <c r="L10">
        <f>Constants!$B$2</f>
        <v>2.8</v>
      </c>
      <c r="M10">
        <f t="shared" si="6"/>
        <v>0</v>
      </c>
      <c r="N10">
        <f>P10*Constants!$E$2</f>
        <v>1.7</v>
      </c>
      <c r="P10">
        <f t="shared" si="1"/>
        <v>1</v>
      </c>
      <c r="Q10">
        <f>P10*Constants!$B$3</f>
        <v>4.1999999999999993</v>
      </c>
      <c r="R10">
        <f t="shared" si="2"/>
        <v>2.4999999999999991</v>
      </c>
      <c r="S10">
        <f t="shared" si="3"/>
        <v>23</v>
      </c>
      <c r="T10">
        <f>S10*Constants!$B$2</f>
        <v>64.399999999999991</v>
      </c>
      <c r="V10">
        <f t="shared" si="4"/>
        <v>0</v>
      </c>
      <c r="W10">
        <f t="shared" si="5"/>
        <v>0</v>
      </c>
      <c r="AA10" s="8"/>
      <c r="AJ10" s="4"/>
    </row>
    <row r="11" spans="1:40" x14ac:dyDescent="0.25">
      <c r="A11">
        <v>10</v>
      </c>
      <c r="B11">
        <v>9</v>
      </c>
      <c r="C11" t="s">
        <v>55</v>
      </c>
      <c r="D11" s="16" t="s">
        <v>428</v>
      </c>
      <c r="F11">
        <v>23.15</v>
      </c>
      <c r="G11">
        <v>0</v>
      </c>
      <c r="H11">
        <v>4</v>
      </c>
      <c r="I11">
        <f>2*1.2*(4.2+4)</f>
        <v>19.679999999999996</v>
      </c>
      <c r="L11">
        <f>Constants!$B$2</f>
        <v>2.8</v>
      </c>
      <c r="M11">
        <f t="shared" ref="M11" si="7">IF(N11&gt;0,G11,"N/A")</f>
        <v>0</v>
      </c>
      <c r="N11">
        <f>P11*Constants!$E$2</f>
        <v>6.8</v>
      </c>
      <c r="P11">
        <f t="shared" ref="P11" si="8">H11</f>
        <v>4</v>
      </c>
      <c r="Q11">
        <f>P11*Constants!$B$3</f>
        <v>16.799999999999997</v>
      </c>
      <c r="R11">
        <f t="shared" ref="R11" si="9">IF(Q11-N11&lt;=0, 0, Q11-N11)</f>
        <v>9.9999999999999964</v>
      </c>
      <c r="S11">
        <f t="shared" ref="S11" si="10">I11-P11</f>
        <v>15.679999999999996</v>
      </c>
      <c r="T11">
        <f>S11*Constants!$B$2</f>
        <v>43.903999999999989</v>
      </c>
      <c r="V11">
        <f t="shared" ref="V11" si="11">IF(B11="E",1,0)</f>
        <v>0</v>
      </c>
      <c r="W11">
        <f t="shared" ref="W11" si="12">IF(B11=10,1,0)</f>
        <v>0</v>
      </c>
      <c r="AA11" s="8"/>
      <c r="AJ11" s="4"/>
    </row>
    <row r="12" spans="1:40" x14ac:dyDescent="0.25">
      <c r="A12">
        <v>11</v>
      </c>
      <c r="B12">
        <v>9</v>
      </c>
      <c r="C12" t="s">
        <v>50</v>
      </c>
      <c r="D12" s="16" t="s">
        <v>401</v>
      </c>
      <c r="F12">
        <v>29.22</v>
      </c>
      <c r="G12" t="s">
        <v>44</v>
      </c>
      <c r="H12">
        <v>0</v>
      </c>
      <c r="I12">
        <f>2*1.2*(5+4)</f>
        <v>21.599999999999998</v>
      </c>
      <c r="L12">
        <f>Constants!$B$2</f>
        <v>2.8</v>
      </c>
      <c r="M12" t="str">
        <f t="shared" si="6"/>
        <v>N/A</v>
      </c>
      <c r="N12">
        <f>P12*Constants!$E$2</f>
        <v>0</v>
      </c>
      <c r="P12">
        <f t="shared" si="1"/>
        <v>0</v>
      </c>
      <c r="Q12">
        <f>P12*Constants!$B$3</f>
        <v>0</v>
      </c>
      <c r="R12">
        <f t="shared" si="2"/>
        <v>0</v>
      </c>
      <c r="S12">
        <f t="shared" si="3"/>
        <v>21.599999999999998</v>
      </c>
      <c r="T12">
        <f>S12*Constants!$B$2</f>
        <v>60.47999999999999</v>
      </c>
      <c r="V12">
        <f t="shared" si="4"/>
        <v>0</v>
      </c>
      <c r="W12">
        <f t="shared" si="5"/>
        <v>0</v>
      </c>
      <c r="AA12" s="8"/>
      <c r="AJ12" s="4"/>
    </row>
    <row r="13" spans="1:40" x14ac:dyDescent="0.25">
      <c r="A13">
        <v>12</v>
      </c>
      <c r="B13">
        <v>9</v>
      </c>
      <c r="C13" t="s">
        <v>50</v>
      </c>
      <c r="D13" s="16" t="s">
        <v>402</v>
      </c>
      <c r="F13">
        <v>35.630000000000003</v>
      </c>
      <c r="G13" t="s">
        <v>44</v>
      </c>
      <c r="H13">
        <v>0</v>
      </c>
      <c r="I13">
        <f>2*1.2*(7+5)</f>
        <v>28.799999999999997</v>
      </c>
      <c r="L13">
        <f>Constants!$B$2</f>
        <v>2.8</v>
      </c>
      <c r="M13" t="str">
        <f t="shared" ref="M13:M26" si="13">IF(N13&gt;0,G13,"N/A")</f>
        <v>N/A</v>
      </c>
      <c r="N13">
        <f>P13*Constants!$E$2</f>
        <v>0</v>
      </c>
      <c r="P13">
        <f t="shared" ref="P13:P26" si="14">H13</f>
        <v>0</v>
      </c>
      <c r="Q13">
        <f>P13*Constants!$B$3</f>
        <v>0</v>
      </c>
      <c r="R13">
        <f t="shared" ref="R13:R26" si="15">IF(Q13-N13&lt;=0, 0, Q13-N13)</f>
        <v>0</v>
      </c>
      <c r="S13">
        <f t="shared" ref="S13:S26" si="16">I13-P13</f>
        <v>28.799999999999997</v>
      </c>
      <c r="T13">
        <f>S13*Constants!$B$2</f>
        <v>80.639999999999986</v>
      </c>
      <c r="V13">
        <f t="shared" ref="V13:V26" si="17">IF(B13="E",1,0)</f>
        <v>0</v>
      </c>
      <c r="W13">
        <f t="shared" ref="W13:W26" si="18">IF(B13=10,1,0)</f>
        <v>0</v>
      </c>
      <c r="AA13" s="8"/>
      <c r="AJ13" s="4"/>
    </row>
    <row r="14" spans="1:40" x14ac:dyDescent="0.25">
      <c r="A14">
        <v>13</v>
      </c>
      <c r="B14">
        <v>9</v>
      </c>
      <c r="C14" t="s">
        <v>62</v>
      </c>
      <c r="D14" t="s">
        <v>403</v>
      </c>
      <c r="F14">
        <v>20.56</v>
      </c>
      <c r="G14">
        <v>0</v>
      </c>
      <c r="H14">
        <v>4</v>
      </c>
      <c r="I14">
        <f>2*(4+6.4)</f>
        <v>20.8</v>
      </c>
      <c r="L14">
        <f>Constants!$B$2</f>
        <v>2.8</v>
      </c>
      <c r="M14">
        <f t="shared" si="13"/>
        <v>0</v>
      </c>
      <c r="N14">
        <f>P14*Constants!$E$2</f>
        <v>6.8</v>
      </c>
      <c r="P14">
        <f t="shared" si="14"/>
        <v>4</v>
      </c>
      <c r="Q14">
        <f>P14*Constants!$B$3</f>
        <v>16.799999999999997</v>
      </c>
      <c r="R14">
        <f t="shared" si="15"/>
        <v>9.9999999999999964</v>
      </c>
      <c r="S14">
        <f t="shared" si="16"/>
        <v>16.8</v>
      </c>
      <c r="T14">
        <f>S14*Constants!$B$2</f>
        <v>47.04</v>
      </c>
      <c r="V14">
        <f t="shared" si="17"/>
        <v>0</v>
      </c>
      <c r="W14">
        <f t="shared" si="18"/>
        <v>0</v>
      </c>
      <c r="AA14" s="8"/>
      <c r="AJ14" s="4"/>
    </row>
    <row r="15" spans="1:40" x14ac:dyDescent="0.25">
      <c r="A15">
        <v>14</v>
      </c>
      <c r="B15">
        <v>9</v>
      </c>
      <c r="C15" t="s">
        <v>64</v>
      </c>
      <c r="D15" s="16" t="s">
        <v>404</v>
      </c>
      <c r="F15">
        <v>3.72</v>
      </c>
      <c r="G15" t="s">
        <v>44</v>
      </c>
      <c r="H15">
        <v>0</v>
      </c>
      <c r="I15">
        <f>2*1.2*(2.5+1.5)</f>
        <v>9.6</v>
      </c>
      <c r="L15">
        <f>Constants!$B$2</f>
        <v>2.8</v>
      </c>
      <c r="M15" t="str">
        <f t="shared" si="13"/>
        <v>N/A</v>
      </c>
      <c r="N15">
        <f>P15*Constants!$E$2</f>
        <v>0</v>
      </c>
      <c r="P15">
        <f t="shared" si="14"/>
        <v>0</v>
      </c>
      <c r="Q15">
        <f>P15*Constants!$B$3</f>
        <v>0</v>
      </c>
      <c r="R15">
        <f t="shared" si="15"/>
        <v>0</v>
      </c>
      <c r="S15">
        <f t="shared" si="16"/>
        <v>9.6</v>
      </c>
      <c r="T15">
        <f>S15*Constants!$B$2</f>
        <v>26.88</v>
      </c>
      <c r="V15">
        <f t="shared" si="17"/>
        <v>0</v>
      </c>
      <c r="W15">
        <f t="shared" si="18"/>
        <v>0</v>
      </c>
      <c r="AA15" s="8"/>
      <c r="AJ15" s="4"/>
    </row>
    <row r="16" spans="1:40" x14ac:dyDescent="0.25">
      <c r="A16">
        <v>15</v>
      </c>
      <c r="B16">
        <v>9</v>
      </c>
      <c r="C16" t="s">
        <v>64</v>
      </c>
      <c r="D16" s="16" t="s">
        <v>429</v>
      </c>
      <c r="F16">
        <v>3.72</v>
      </c>
      <c r="G16" t="s">
        <v>44</v>
      </c>
      <c r="H16">
        <v>0</v>
      </c>
      <c r="I16">
        <f>2*1.2*(2.5+1.5)</f>
        <v>9.6</v>
      </c>
      <c r="L16">
        <f>Constants!$B$2</f>
        <v>2.8</v>
      </c>
      <c r="M16" t="str">
        <f t="shared" si="13"/>
        <v>N/A</v>
      </c>
      <c r="N16">
        <f>P16*Constants!$E$2</f>
        <v>0</v>
      </c>
      <c r="P16">
        <f>H16</f>
        <v>0</v>
      </c>
      <c r="Q16">
        <f>P16*Constants!$B$3</f>
        <v>0</v>
      </c>
      <c r="R16">
        <f t="shared" si="15"/>
        <v>0</v>
      </c>
      <c r="S16">
        <f>I16-P16</f>
        <v>9.6</v>
      </c>
      <c r="T16">
        <f>S16*Constants!$B$2</f>
        <v>26.88</v>
      </c>
      <c r="V16">
        <f t="shared" si="17"/>
        <v>0</v>
      </c>
      <c r="W16">
        <f t="shared" si="18"/>
        <v>0</v>
      </c>
      <c r="AA16" s="8"/>
      <c r="AJ16" s="4"/>
    </row>
    <row r="17" spans="1:36" x14ac:dyDescent="0.25">
      <c r="A17">
        <v>16</v>
      </c>
      <c r="B17">
        <v>9</v>
      </c>
      <c r="C17" t="s">
        <v>59</v>
      </c>
      <c r="D17" s="16" t="s">
        <v>405</v>
      </c>
      <c r="F17">
        <v>27.2</v>
      </c>
      <c r="G17">
        <v>0</v>
      </c>
      <c r="H17">
        <v>4.8</v>
      </c>
      <c r="I17">
        <f>2*1.2*(5+4)</f>
        <v>21.599999999999998</v>
      </c>
      <c r="L17">
        <f>Constants!$B$2</f>
        <v>2.8</v>
      </c>
      <c r="M17">
        <f t="shared" si="13"/>
        <v>0</v>
      </c>
      <c r="N17">
        <f>P17*Constants!$E$2</f>
        <v>8.16</v>
      </c>
      <c r="P17">
        <f t="shared" si="14"/>
        <v>4.8</v>
      </c>
      <c r="Q17">
        <f>P17*Constants!$B$3</f>
        <v>20.159999999999997</v>
      </c>
      <c r="R17">
        <f t="shared" si="15"/>
        <v>11.999999999999996</v>
      </c>
      <c r="S17">
        <f t="shared" si="16"/>
        <v>16.799999999999997</v>
      </c>
      <c r="T17">
        <f>S17*Constants!$B$2</f>
        <v>47.039999999999992</v>
      </c>
      <c r="V17">
        <f t="shared" si="17"/>
        <v>0</v>
      </c>
      <c r="W17">
        <f t="shared" si="18"/>
        <v>0</v>
      </c>
      <c r="AA17" s="8"/>
      <c r="AJ17" s="4"/>
    </row>
    <row r="18" spans="1:36" x14ac:dyDescent="0.25">
      <c r="A18">
        <v>17</v>
      </c>
      <c r="B18">
        <v>9</v>
      </c>
      <c r="C18" t="s">
        <v>59</v>
      </c>
      <c r="D18" s="16" t="s">
        <v>430</v>
      </c>
      <c r="F18">
        <v>15.34</v>
      </c>
      <c r="G18" t="s">
        <v>44</v>
      </c>
      <c r="H18">
        <v>0</v>
      </c>
      <c r="I18">
        <f>2*1.2*(2.5+5)</f>
        <v>18</v>
      </c>
      <c r="L18">
        <f>Constants!$B$2</f>
        <v>2.8</v>
      </c>
      <c r="M18" t="str">
        <f t="shared" si="13"/>
        <v>N/A</v>
      </c>
      <c r="N18">
        <f>P18*Constants!$E$2</f>
        <v>0</v>
      </c>
      <c r="P18">
        <f t="shared" si="14"/>
        <v>0</v>
      </c>
      <c r="Q18">
        <f>P18*Constants!$B$3</f>
        <v>0</v>
      </c>
      <c r="R18">
        <f t="shared" si="15"/>
        <v>0</v>
      </c>
      <c r="S18">
        <f t="shared" si="16"/>
        <v>18</v>
      </c>
      <c r="T18">
        <f>S18*Constants!$B$2</f>
        <v>50.4</v>
      </c>
      <c r="V18">
        <f t="shared" si="17"/>
        <v>0</v>
      </c>
      <c r="W18">
        <f t="shared" si="18"/>
        <v>0</v>
      </c>
      <c r="AA18" s="8"/>
      <c r="AJ18" s="4"/>
    </row>
    <row r="19" spans="1:36" x14ac:dyDescent="0.25">
      <c r="A19">
        <v>18</v>
      </c>
      <c r="B19">
        <v>9</v>
      </c>
      <c r="C19" t="s">
        <v>66</v>
      </c>
      <c r="D19" s="16" t="s">
        <v>431</v>
      </c>
      <c r="F19">
        <v>12.35</v>
      </c>
      <c r="G19" t="s">
        <v>44</v>
      </c>
      <c r="H19">
        <v>0</v>
      </c>
      <c r="I19">
        <f>2*1.2*(2+5)</f>
        <v>16.8</v>
      </c>
      <c r="L19">
        <f>Constants!$B$2</f>
        <v>2.8</v>
      </c>
      <c r="M19" t="str">
        <f t="shared" si="13"/>
        <v>N/A</v>
      </c>
      <c r="N19">
        <f>P19*Constants!$E$2</f>
        <v>0</v>
      </c>
      <c r="P19">
        <f t="shared" si="14"/>
        <v>0</v>
      </c>
      <c r="Q19">
        <f>P19*Constants!$B$3</f>
        <v>0</v>
      </c>
      <c r="R19">
        <f t="shared" si="15"/>
        <v>0</v>
      </c>
      <c r="S19">
        <f t="shared" si="16"/>
        <v>16.8</v>
      </c>
      <c r="T19">
        <f>S19*Constants!$B$2</f>
        <v>47.04</v>
      </c>
      <c r="V19">
        <f t="shared" si="17"/>
        <v>0</v>
      </c>
      <c r="W19">
        <f t="shared" si="18"/>
        <v>0</v>
      </c>
      <c r="AA19" s="8"/>
      <c r="AJ19" s="4"/>
    </row>
    <row r="20" spans="1:36" x14ac:dyDescent="0.25">
      <c r="A20">
        <v>19</v>
      </c>
      <c r="B20">
        <v>9</v>
      </c>
      <c r="C20" t="s">
        <v>54</v>
      </c>
      <c r="D20" s="16" t="s">
        <v>408</v>
      </c>
      <c r="F20">
        <v>18.010000000000002</v>
      </c>
      <c r="G20">
        <v>0</v>
      </c>
      <c r="H20">
        <v>1.2</v>
      </c>
      <c r="I20">
        <f>2*1.2*(5+3)</f>
        <v>19.2</v>
      </c>
      <c r="L20">
        <f>Constants!$B$2</f>
        <v>2.8</v>
      </c>
      <c r="M20">
        <f t="shared" si="13"/>
        <v>0</v>
      </c>
      <c r="N20">
        <f>P20*Constants!$E$2</f>
        <v>2.04</v>
      </c>
      <c r="P20">
        <f t="shared" si="14"/>
        <v>1.2</v>
      </c>
      <c r="Q20">
        <f>P20*Constants!$B$3</f>
        <v>5.0399999999999991</v>
      </c>
      <c r="R20">
        <f t="shared" si="15"/>
        <v>2.9999999999999991</v>
      </c>
      <c r="S20">
        <f t="shared" si="16"/>
        <v>18</v>
      </c>
      <c r="T20">
        <f>S20*Constants!$B$2</f>
        <v>50.4</v>
      </c>
      <c r="V20">
        <f t="shared" si="17"/>
        <v>0</v>
      </c>
      <c r="W20">
        <f t="shared" si="18"/>
        <v>0</v>
      </c>
      <c r="AA20" s="8"/>
      <c r="AJ20" s="4"/>
    </row>
    <row r="21" spans="1:36" x14ac:dyDescent="0.25">
      <c r="A21">
        <v>20</v>
      </c>
      <c r="B21">
        <v>9</v>
      </c>
      <c r="C21" t="s">
        <v>54</v>
      </c>
      <c r="D21" s="16" t="s">
        <v>409</v>
      </c>
      <c r="F21">
        <v>24.39</v>
      </c>
      <c r="G21">
        <v>0</v>
      </c>
      <c r="H21">
        <v>4.8</v>
      </c>
      <c r="I21">
        <f>2*1.2*(4.2+4)</f>
        <v>19.679999999999996</v>
      </c>
      <c r="L21">
        <f>Constants!$B$2</f>
        <v>2.8</v>
      </c>
      <c r="M21">
        <f t="shared" si="13"/>
        <v>0</v>
      </c>
      <c r="N21">
        <f>P21*Constants!$E$2</f>
        <v>8.16</v>
      </c>
      <c r="P21">
        <f t="shared" si="14"/>
        <v>4.8</v>
      </c>
      <c r="Q21">
        <f>P21*Constants!$B$3</f>
        <v>20.159999999999997</v>
      </c>
      <c r="R21">
        <f t="shared" si="15"/>
        <v>11.999999999999996</v>
      </c>
      <c r="S21">
        <f t="shared" si="16"/>
        <v>14.879999999999995</v>
      </c>
      <c r="T21">
        <f>S21*Constants!$B$2</f>
        <v>41.663999999999987</v>
      </c>
      <c r="V21">
        <f t="shared" si="17"/>
        <v>0</v>
      </c>
      <c r="W21">
        <f t="shared" si="18"/>
        <v>0</v>
      </c>
      <c r="AA21" s="8"/>
      <c r="AJ21" s="4"/>
    </row>
    <row r="22" spans="1:36" x14ac:dyDescent="0.25">
      <c r="A22">
        <v>21</v>
      </c>
      <c r="B22">
        <v>9</v>
      </c>
      <c r="C22" t="s">
        <v>62</v>
      </c>
      <c r="D22" t="s">
        <v>406</v>
      </c>
      <c r="F22">
        <v>20.56</v>
      </c>
      <c r="G22">
        <v>0</v>
      </c>
      <c r="H22">
        <v>4</v>
      </c>
      <c r="I22">
        <f>2*(4+6.4)</f>
        <v>20.8</v>
      </c>
      <c r="L22">
        <f>Constants!$B$2</f>
        <v>2.8</v>
      </c>
      <c r="M22">
        <f t="shared" si="13"/>
        <v>0</v>
      </c>
      <c r="N22">
        <f>P22*Constants!$E$2</f>
        <v>6.8</v>
      </c>
      <c r="P22">
        <f t="shared" si="14"/>
        <v>4</v>
      </c>
      <c r="Q22">
        <f>P22*Constants!$B$3</f>
        <v>16.799999999999997</v>
      </c>
      <c r="R22">
        <f t="shared" si="15"/>
        <v>9.9999999999999964</v>
      </c>
      <c r="S22">
        <f t="shared" si="16"/>
        <v>16.8</v>
      </c>
      <c r="T22">
        <f>S22*Constants!$B$2</f>
        <v>47.04</v>
      </c>
      <c r="V22">
        <f t="shared" si="17"/>
        <v>0</v>
      </c>
      <c r="W22">
        <f t="shared" si="18"/>
        <v>0</v>
      </c>
      <c r="AA22" s="8"/>
      <c r="AJ22" s="4"/>
    </row>
    <row r="23" spans="1:36" x14ac:dyDescent="0.25">
      <c r="A23">
        <v>22</v>
      </c>
      <c r="B23">
        <v>9</v>
      </c>
      <c r="C23" t="s">
        <v>64</v>
      </c>
      <c r="D23" s="16" t="s">
        <v>410</v>
      </c>
      <c r="F23">
        <v>3.72</v>
      </c>
      <c r="G23" t="s">
        <v>44</v>
      </c>
      <c r="H23">
        <v>0</v>
      </c>
      <c r="I23">
        <f>2*1.2*(2.5+1.5)</f>
        <v>9.6</v>
      </c>
      <c r="L23">
        <f>Constants!$B$2</f>
        <v>2.8</v>
      </c>
      <c r="M23" t="str">
        <f t="shared" si="13"/>
        <v>N/A</v>
      </c>
      <c r="N23">
        <f>P23*Constants!$E$2</f>
        <v>0</v>
      </c>
      <c r="P23">
        <f t="shared" si="14"/>
        <v>0</v>
      </c>
      <c r="Q23">
        <f>P23*Constants!$B$3</f>
        <v>0</v>
      </c>
      <c r="R23">
        <f t="shared" si="15"/>
        <v>0</v>
      </c>
      <c r="S23">
        <f t="shared" si="16"/>
        <v>9.6</v>
      </c>
      <c r="T23">
        <f>S23*Constants!$B$2</f>
        <v>26.88</v>
      </c>
      <c r="V23">
        <f t="shared" si="17"/>
        <v>0</v>
      </c>
      <c r="W23">
        <f t="shared" si="18"/>
        <v>0</v>
      </c>
      <c r="AA23" s="8"/>
      <c r="AJ23" s="4"/>
    </row>
    <row r="24" spans="1:36" x14ac:dyDescent="0.25">
      <c r="A24">
        <v>23</v>
      </c>
      <c r="B24">
        <v>9</v>
      </c>
      <c r="C24" t="s">
        <v>64</v>
      </c>
      <c r="D24" s="16" t="s">
        <v>414</v>
      </c>
      <c r="F24">
        <v>3.72</v>
      </c>
      <c r="G24" t="s">
        <v>44</v>
      </c>
      <c r="H24">
        <v>0</v>
      </c>
      <c r="I24">
        <f>2*1.2*(2.5+1.5)</f>
        <v>9.6</v>
      </c>
      <c r="L24">
        <f>Constants!$B$2</f>
        <v>2.8</v>
      </c>
      <c r="M24" t="str">
        <f t="shared" si="13"/>
        <v>N/A</v>
      </c>
      <c r="N24">
        <f>P24*Constants!$E$2</f>
        <v>0</v>
      </c>
      <c r="P24">
        <f t="shared" si="14"/>
        <v>0</v>
      </c>
      <c r="Q24">
        <f>P24*Constants!$B$3</f>
        <v>0</v>
      </c>
      <c r="R24">
        <f t="shared" si="15"/>
        <v>0</v>
      </c>
      <c r="S24">
        <f t="shared" si="16"/>
        <v>9.6</v>
      </c>
      <c r="T24">
        <f>S24*Constants!$B$2</f>
        <v>26.88</v>
      </c>
      <c r="V24">
        <f t="shared" si="17"/>
        <v>0</v>
      </c>
      <c r="W24">
        <f t="shared" si="18"/>
        <v>0</v>
      </c>
      <c r="AA24" s="8"/>
      <c r="AJ24" s="4"/>
    </row>
    <row r="25" spans="1:36" x14ac:dyDescent="0.25">
      <c r="A25">
        <v>24</v>
      </c>
      <c r="B25">
        <v>9</v>
      </c>
      <c r="C25" t="s">
        <v>54</v>
      </c>
      <c r="D25" s="16" t="s">
        <v>415</v>
      </c>
      <c r="E25" s="16"/>
      <c r="F25">
        <v>30</v>
      </c>
      <c r="G25">
        <v>0</v>
      </c>
      <c r="H25">
        <v>6</v>
      </c>
      <c r="I25">
        <f>2*1.2*(4.1+5.1)</f>
        <v>22.08</v>
      </c>
      <c r="L25">
        <f>Constants!$B$2</f>
        <v>2.8</v>
      </c>
      <c r="M25">
        <f t="shared" si="13"/>
        <v>0</v>
      </c>
      <c r="N25">
        <f>P25*Constants!$E$2</f>
        <v>10.199999999999999</v>
      </c>
      <c r="P25">
        <f t="shared" si="14"/>
        <v>6</v>
      </c>
      <c r="Q25">
        <f>P25*Constants!$B$3</f>
        <v>25.199999999999996</v>
      </c>
      <c r="R25">
        <f t="shared" si="15"/>
        <v>14.999999999999996</v>
      </c>
      <c r="S25">
        <f t="shared" si="16"/>
        <v>16.079999999999998</v>
      </c>
      <c r="T25">
        <f>S25*Constants!$B$2</f>
        <v>45.023999999999994</v>
      </c>
      <c r="V25">
        <f t="shared" si="17"/>
        <v>0</v>
      </c>
      <c r="W25">
        <f t="shared" si="18"/>
        <v>0</v>
      </c>
      <c r="AA25" s="8"/>
      <c r="AJ25" s="4"/>
    </row>
    <row r="26" spans="1:36" x14ac:dyDescent="0.25">
      <c r="A26">
        <v>25</v>
      </c>
      <c r="B26">
        <v>9</v>
      </c>
      <c r="C26" t="s">
        <v>66</v>
      </c>
      <c r="D26" s="16" t="s">
        <v>418</v>
      </c>
      <c r="F26">
        <v>12.4</v>
      </c>
      <c r="G26" t="s">
        <v>44</v>
      </c>
      <c r="H26">
        <v>0</v>
      </c>
      <c r="I26">
        <f>2*1.2*(2+5)</f>
        <v>16.8</v>
      </c>
      <c r="L26">
        <f>Constants!$B$2</f>
        <v>2.8</v>
      </c>
      <c r="M26" t="str">
        <f t="shared" si="13"/>
        <v>N/A</v>
      </c>
      <c r="N26">
        <f>P26*Constants!$E$2</f>
        <v>0</v>
      </c>
      <c r="P26">
        <f t="shared" si="14"/>
        <v>0</v>
      </c>
      <c r="Q26">
        <f>P26*Constants!$B$3</f>
        <v>0</v>
      </c>
      <c r="R26">
        <f t="shared" si="15"/>
        <v>0</v>
      </c>
      <c r="S26">
        <f t="shared" si="16"/>
        <v>16.8</v>
      </c>
      <c r="T26">
        <f>S26*Constants!$B$2</f>
        <v>47.04</v>
      </c>
      <c r="V26">
        <f t="shared" si="17"/>
        <v>0</v>
      </c>
      <c r="W26">
        <f t="shared" si="18"/>
        <v>0</v>
      </c>
      <c r="AA26" s="8"/>
      <c r="AJ26" s="4"/>
    </row>
    <row r="27" spans="1:36" x14ac:dyDescent="0.25">
      <c r="A27">
        <v>28</v>
      </c>
      <c r="B27">
        <v>9</v>
      </c>
      <c r="C27" t="s">
        <v>45</v>
      </c>
      <c r="D27" s="16" t="s">
        <v>412</v>
      </c>
      <c r="E27" s="16"/>
      <c r="F27">
        <v>40.39</v>
      </c>
      <c r="G27" t="s">
        <v>44</v>
      </c>
      <c r="H27">
        <v>0</v>
      </c>
      <c r="I27">
        <f>2*1.2*(6.5+4.5)</f>
        <v>26.4</v>
      </c>
      <c r="L27">
        <f>Constants!$B$2</f>
        <v>2.8</v>
      </c>
      <c r="M27" t="str">
        <f t="shared" ref="M27:M30" si="19">IF(N27&gt;0,G27,"N/A")</f>
        <v>N/A</v>
      </c>
      <c r="N27">
        <f>P27*Constants!$E$2</f>
        <v>0</v>
      </c>
      <c r="P27">
        <f t="shared" ref="P27:P30" si="20">H27</f>
        <v>0</v>
      </c>
      <c r="Q27">
        <f>P27*Constants!$B$3</f>
        <v>0</v>
      </c>
      <c r="R27">
        <f t="shared" ref="R27:R30" si="21">IF(Q27-N27&lt;=0, 0, Q27-N27)</f>
        <v>0</v>
      </c>
      <c r="S27">
        <f t="shared" ref="S27:S30" si="22">I27-P27</f>
        <v>26.4</v>
      </c>
      <c r="T27">
        <f>S27*Constants!$B$2</f>
        <v>73.919999999999987</v>
      </c>
      <c r="V27">
        <f t="shared" ref="V27:V30" si="23">IF(B27="E",1,0)</f>
        <v>0</v>
      </c>
      <c r="W27">
        <f t="shared" ref="W27:W30" si="24">IF(B27=10,1,0)</f>
        <v>0</v>
      </c>
      <c r="AA27" s="8"/>
      <c r="AJ27" s="4"/>
    </row>
    <row r="28" spans="1:36" x14ac:dyDescent="0.25">
      <c r="A28">
        <v>29</v>
      </c>
      <c r="B28">
        <v>9</v>
      </c>
      <c r="C28" t="s">
        <v>45</v>
      </c>
      <c r="D28" s="16" t="s">
        <v>411</v>
      </c>
      <c r="F28">
        <v>38.950000000000003</v>
      </c>
      <c r="G28" t="s">
        <v>44</v>
      </c>
      <c r="H28">
        <v>0</v>
      </c>
      <c r="I28">
        <f>2*1.2*(6.5+4.5)</f>
        <v>26.4</v>
      </c>
      <c r="L28">
        <f>Constants!$B$2</f>
        <v>2.8</v>
      </c>
      <c r="M28" t="str">
        <f t="shared" si="19"/>
        <v>N/A</v>
      </c>
      <c r="N28">
        <f>P28*Constants!$E$2</f>
        <v>0</v>
      </c>
      <c r="P28">
        <f t="shared" si="20"/>
        <v>0</v>
      </c>
      <c r="Q28">
        <f>P28*Constants!$B$3</f>
        <v>0</v>
      </c>
      <c r="R28">
        <f t="shared" si="21"/>
        <v>0</v>
      </c>
      <c r="S28">
        <f t="shared" si="22"/>
        <v>26.4</v>
      </c>
      <c r="T28">
        <f>S28*Constants!$B$2</f>
        <v>73.919999999999987</v>
      </c>
      <c r="V28">
        <f t="shared" si="23"/>
        <v>0</v>
      </c>
      <c r="W28">
        <f t="shared" si="24"/>
        <v>0</v>
      </c>
      <c r="AA28" s="8"/>
      <c r="AJ28" s="4"/>
    </row>
    <row r="29" spans="1:36" x14ac:dyDescent="0.25">
      <c r="A29">
        <v>30</v>
      </c>
      <c r="B29">
        <v>9</v>
      </c>
      <c r="C29" t="s">
        <v>55</v>
      </c>
      <c r="D29" s="16" t="s">
        <v>419</v>
      </c>
      <c r="F29">
        <v>30.11</v>
      </c>
      <c r="G29" t="s">
        <v>44</v>
      </c>
      <c r="H29">
        <v>0</v>
      </c>
      <c r="I29">
        <f>2*1.2*(5+5)</f>
        <v>24</v>
      </c>
      <c r="L29">
        <f>Constants!$B$2</f>
        <v>2.8</v>
      </c>
      <c r="M29" t="str">
        <f t="shared" si="19"/>
        <v>N/A</v>
      </c>
      <c r="N29">
        <f>P29*Constants!$E$2</f>
        <v>0</v>
      </c>
      <c r="P29">
        <f t="shared" si="20"/>
        <v>0</v>
      </c>
      <c r="Q29">
        <f>P29*Constants!$B$3</f>
        <v>0</v>
      </c>
      <c r="R29">
        <f t="shared" si="21"/>
        <v>0</v>
      </c>
      <c r="S29">
        <f t="shared" si="22"/>
        <v>24</v>
      </c>
      <c r="T29">
        <f>S29*Constants!$B$2</f>
        <v>67.199999999999989</v>
      </c>
      <c r="V29">
        <f t="shared" si="23"/>
        <v>0</v>
      </c>
      <c r="W29">
        <f t="shared" si="24"/>
        <v>0</v>
      </c>
      <c r="AA29" s="8"/>
      <c r="AJ29" s="4"/>
    </row>
    <row r="30" spans="1:36" x14ac:dyDescent="0.25">
      <c r="A30">
        <v>31</v>
      </c>
      <c r="B30">
        <v>9</v>
      </c>
      <c r="C30" t="s">
        <v>55</v>
      </c>
      <c r="D30" s="16" t="s">
        <v>420</v>
      </c>
      <c r="F30">
        <v>23.25</v>
      </c>
      <c r="G30">
        <v>0</v>
      </c>
      <c r="H30">
        <v>3</v>
      </c>
      <c r="I30">
        <f>2*1.2*(4.1+4.1)</f>
        <v>19.679999999999996</v>
      </c>
      <c r="L30">
        <f>Constants!$B$2</f>
        <v>2.8</v>
      </c>
      <c r="M30">
        <f t="shared" si="19"/>
        <v>0</v>
      </c>
      <c r="N30">
        <f>P30*Constants!$E$2</f>
        <v>5.0999999999999996</v>
      </c>
      <c r="P30">
        <f t="shared" si="20"/>
        <v>3</v>
      </c>
      <c r="Q30">
        <f>P30*Constants!$B$3</f>
        <v>12.599999999999998</v>
      </c>
      <c r="R30">
        <f t="shared" si="21"/>
        <v>7.4999999999999982</v>
      </c>
      <c r="S30">
        <f t="shared" si="22"/>
        <v>16.679999999999996</v>
      </c>
      <c r="T30">
        <f>S30*Constants!$B$2</f>
        <v>46.703999999999986</v>
      </c>
      <c r="V30">
        <f t="shared" si="23"/>
        <v>0</v>
      </c>
      <c r="W30">
        <f t="shared" si="24"/>
        <v>0</v>
      </c>
      <c r="AA30" s="8"/>
      <c r="AJ30" s="4"/>
    </row>
    <row r="31" spans="1:36" x14ac:dyDescent="0.25">
      <c r="A31">
        <v>32</v>
      </c>
      <c r="B31">
        <v>9</v>
      </c>
      <c r="C31" t="s">
        <v>62</v>
      </c>
      <c r="D31" s="16" t="s">
        <v>417</v>
      </c>
      <c r="F31">
        <v>20.56</v>
      </c>
      <c r="G31">
        <v>0</v>
      </c>
      <c r="H31">
        <v>4</v>
      </c>
      <c r="I31">
        <f>2*(4+6.4)</f>
        <v>20.8</v>
      </c>
      <c r="L31">
        <f>Constants!$B$2</f>
        <v>2.8</v>
      </c>
      <c r="M31">
        <f t="shared" ref="M31:M33" si="25">IF(N31&gt;0,G31,"N/A")</f>
        <v>0</v>
      </c>
      <c r="N31">
        <f>P31*Constants!$E$2</f>
        <v>6.8</v>
      </c>
      <c r="P31">
        <f t="shared" ref="P31:P33" si="26">H31</f>
        <v>4</v>
      </c>
      <c r="Q31">
        <f>P31*Constants!$B$3</f>
        <v>16.799999999999997</v>
      </c>
      <c r="R31">
        <f t="shared" ref="R31:R33" si="27">IF(Q31-N31&lt;=0, 0, Q31-N31)</f>
        <v>9.9999999999999964</v>
      </c>
      <c r="S31">
        <f t="shared" ref="S31:S33" si="28">I31-P31</f>
        <v>16.8</v>
      </c>
      <c r="T31">
        <f>S31*Constants!$B$2</f>
        <v>47.04</v>
      </c>
      <c r="V31">
        <f t="shared" ref="V31:V33" si="29">IF(B31="E",1,0)</f>
        <v>0</v>
      </c>
      <c r="W31">
        <f t="shared" ref="W31:W33" si="30">IF(B31=10,1,0)</f>
        <v>0</v>
      </c>
      <c r="AA31" s="8"/>
      <c r="AJ31" s="4"/>
    </row>
    <row r="32" spans="1:36" x14ac:dyDescent="0.25">
      <c r="A32">
        <v>33</v>
      </c>
      <c r="B32">
        <v>9</v>
      </c>
      <c r="C32" t="s">
        <v>64</v>
      </c>
      <c r="D32" s="16" t="s">
        <v>421</v>
      </c>
      <c r="F32">
        <v>3.72</v>
      </c>
      <c r="G32" t="s">
        <v>44</v>
      </c>
      <c r="H32">
        <v>0</v>
      </c>
      <c r="I32">
        <f>2*1.2*(2.5+1.5)</f>
        <v>9.6</v>
      </c>
      <c r="L32">
        <f>Constants!$B$2</f>
        <v>2.8</v>
      </c>
      <c r="M32" t="str">
        <f t="shared" si="25"/>
        <v>N/A</v>
      </c>
      <c r="N32">
        <f>P32*Constants!$E$2</f>
        <v>0</v>
      </c>
      <c r="P32">
        <f t="shared" si="26"/>
        <v>0</v>
      </c>
      <c r="Q32">
        <f>P32*Constants!$B$3</f>
        <v>0</v>
      </c>
      <c r="R32">
        <f t="shared" si="27"/>
        <v>0</v>
      </c>
      <c r="S32">
        <f t="shared" si="28"/>
        <v>9.6</v>
      </c>
      <c r="T32">
        <f>S32*Constants!$B$2</f>
        <v>26.88</v>
      </c>
      <c r="V32">
        <f t="shared" si="29"/>
        <v>0</v>
      </c>
      <c r="W32">
        <f t="shared" si="30"/>
        <v>0</v>
      </c>
      <c r="AA32" s="8"/>
      <c r="AJ32" s="4"/>
    </row>
    <row r="33" spans="1:36" x14ac:dyDescent="0.25">
      <c r="A33">
        <v>34</v>
      </c>
      <c r="B33">
        <v>9</v>
      </c>
      <c r="C33" t="s">
        <v>64</v>
      </c>
      <c r="D33" s="16" t="s">
        <v>422</v>
      </c>
      <c r="F33">
        <v>3.72</v>
      </c>
      <c r="G33" t="s">
        <v>44</v>
      </c>
      <c r="H33">
        <v>0</v>
      </c>
      <c r="I33">
        <f>2*1.2*(2.5+1.5)</f>
        <v>9.6</v>
      </c>
      <c r="L33">
        <f>Constants!$B$2</f>
        <v>2.8</v>
      </c>
      <c r="M33" t="str">
        <f t="shared" si="25"/>
        <v>N/A</v>
      </c>
      <c r="N33">
        <f>P33*Constants!$E$2</f>
        <v>0</v>
      </c>
      <c r="P33">
        <f t="shared" si="26"/>
        <v>0</v>
      </c>
      <c r="Q33">
        <f>P33*Constants!$B$3</f>
        <v>0</v>
      </c>
      <c r="R33">
        <f t="shared" si="27"/>
        <v>0</v>
      </c>
      <c r="S33">
        <f t="shared" si="28"/>
        <v>9.6</v>
      </c>
      <c r="T33">
        <f>S33*Constants!$B$2</f>
        <v>26.88</v>
      </c>
      <c r="V33">
        <f t="shared" si="29"/>
        <v>0</v>
      </c>
      <c r="W33">
        <f t="shared" si="30"/>
        <v>0</v>
      </c>
      <c r="AA33" s="8"/>
      <c r="AJ33" s="4"/>
    </row>
    <row r="34" spans="1:36" x14ac:dyDescent="0.25">
      <c r="A34">
        <v>35</v>
      </c>
      <c r="B34">
        <v>9</v>
      </c>
      <c r="C34" t="s">
        <v>54</v>
      </c>
      <c r="D34" s="16" t="s">
        <v>423</v>
      </c>
      <c r="F34">
        <v>30</v>
      </c>
      <c r="G34">
        <v>0</v>
      </c>
      <c r="H34">
        <v>6</v>
      </c>
      <c r="I34">
        <f>2*1.2*(5.5+4)</f>
        <v>22.8</v>
      </c>
      <c r="L34">
        <f>Constants!$B$2</f>
        <v>2.8</v>
      </c>
      <c r="M34">
        <f t="shared" si="0"/>
        <v>0</v>
      </c>
      <c r="N34">
        <f>P34*Constants!$E$2</f>
        <v>10.199999999999999</v>
      </c>
      <c r="P34">
        <f t="shared" ref="P34:P36" si="31">H34</f>
        <v>6</v>
      </c>
      <c r="Q34">
        <f>P34*Constants!$B$3</f>
        <v>25.199999999999996</v>
      </c>
      <c r="R34">
        <f t="shared" ref="R34:R36" si="32">IF(Q34-N34&lt;=0, 0, Q34-N34)</f>
        <v>14.999999999999996</v>
      </c>
      <c r="S34">
        <f t="shared" ref="S34:S36" si="33">I34-P34</f>
        <v>16.8</v>
      </c>
      <c r="T34">
        <f>S34*Constants!$B$2</f>
        <v>47.04</v>
      </c>
      <c r="V34">
        <f t="shared" ref="V34:V36" si="34">IF(B34="E",1,0)</f>
        <v>0</v>
      </c>
      <c r="W34">
        <f t="shared" ref="W34:W36" si="35">IF(B34=10,1,0)</f>
        <v>0</v>
      </c>
      <c r="AA34" s="8"/>
      <c r="AJ34" s="4"/>
    </row>
    <row r="35" spans="1:36" x14ac:dyDescent="0.25">
      <c r="A35">
        <v>36</v>
      </c>
      <c r="B35">
        <v>9</v>
      </c>
      <c r="C35" t="s">
        <v>66</v>
      </c>
      <c r="D35" s="16" t="s">
        <v>416</v>
      </c>
      <c r="E35" s="16"/>
      <c r="F35">
        <v>12.4</v>
      </c>
      <c r="G35" t="s">
        <v>44</v>
      </c>
      <c r="H35">
        <v>0</v>
      </c>
      <c r="I35">
        <f>2*1.2*(2+5)</f>
        <v>16.8</v>
      </c>
      <c r="L35">
        <f>Constants!$B$2</f>
        <v>2.8</v>
      </c>
      <c r="M35" t="str">
        <f t="shared" si="0"/>
        <v>N/A</v>
      </c>
      <c r="N35">
        <f>P35*Constants!$E$2</f>
        <v>0</v>
      </c>
      <c r="P35">
        <f t="shared" si="31"/>
        <v>0</v>
      </c>
      <c r="Q35">
        <f>P35*Constants!$B$3</f>
        <v>0</v>
      </c>
      <c r="R35">
        <f t="shared" si="32"/>
        <v>0</v>
      </c>
      <c r="S35">
        <f t="shared" si="33"/>
        <v>16.8</v>
      </c>
      <c r="T35">
        <f>S35*Constants!$B$2</f>
        <v>47.04</v>
      </c>
      <c r="V35">
        <f t="shared" si="34"/>
        <v>0</v>
      </c>
      <c r="W35">
        <f t="shared" si="35"/>
        <v>0</v>
      </c>
      <c r="AA35" s="8"/>
      <c r="AJ35" s="4"/>
    </row>
    <row r="36" spans="1:36" x14ac:dyDescent="0.25">
      <c r="A36">
        <v>37</v>
      </c>
      <c r="B36">
        <v>9</v>
      </c>
      <c r="C36" t="s">
        <v>59</v>
      </c>
      <c r="D36" s="16" t="s">
        <v>413</v>
      </c>
      <c r="F36">
        <v>18.97</v>
      </c>
      <c r="G36">
        <v>90</v>
      </c>
      <c r="H36">
        <v>4.8</v>
      </c>
      <c r="I36">
        <f>2*1.2*(3+5)</f>
        <v>19.2</v>
      </c>
      <c r="L36">
        <f>Constants!$B$2</f>
        <v>2.8</v>
      </c>
      <c r="M36">
        <f t="shared" si="0"/>
        <v>90</v>
      </c>
      <c r="N36">
        <f>P36*Constants!$E$2</f>
        <v>8.16</v>
      </c>
      <c r="P36">
        <f t="shared" si="31"/>
        <v>4.8</v>
      </c>
      <c r="Q36">
        <f>P36*Constants!$B$3</f>
        <v>20.159999999999997</v>
      </c>
      <c r="R36">
        <f t="shared" si="32"/>
        <v>11.999999999999996</v>
      </c>
      <c r="S36">
        <f t="shared" si="33"/>
        <v>14.399999999999999</v>
      </c>
      <c r="T36">
        <f>S36*Constants!$B$2</f>
        <v>40.319999999999993</v>
      </c>
      <c r="V36">
        <f t="shared" si="34"/>
        <v>0</v>
      </c>
      <c r="W36">
        <f t="shared" si="35"/>
        <v>0</v>
      </c>
      <c r="AA36" s="8"/>
      <c r="AJ36" s="4"/>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4"/>
    </row>
    <row r="416" spans="4:4" x14ac:dyDescent="0.25">
      <c r="D416" s="14"/>
    </row>
    <row r="417" spans="4:4" x14ac:dyDescent="0.25">
      <c r="D417" s="13"/>
    </row>
    <row r="418" spans="4:4" x14ac:dyDescent="0.25">
      <c r="D418" s="13"/>
    </row>
    <row r="419" spans="4:4" x14ac:dyDescent="0.25">
      <c r="D419" s="13"/>
    </row>
    <row r="420" spans="4:4" x14ac:dyDescent="0.25">
      <c r="D420" s="13"/>
    </row>
    <row r="421" spans="4:4" x14ac:dyDescent="0.25">
      <c r="D421" s="13"/>
    </row>
    <row r="422" spans="4:4" x14ac:dyDescent="0.25">
      <c r="D422" s="13"/>
    </row>
    <row r="423" spans="4:4" x14ac:dyDescent="0.25">
      <c r="D423" s="13"/>
    </row>
    <row r="424" spans="4:4" x14ac:dyDescent="0.25">
      <c r="D424" s="13"/>
    </row>
  </sheetData>
  <phoneticPr fontId="5" type="noConversion"/>
  <pageMargins left="0.7" right="0.7" top="0.78740157499999996" bottom="0.78740157499999996"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461"/>
  <sheetViews>
    <sheetView zoomScaleNormal="100" workbookViewId="0">
      <pane xSplit="4" ySplit="1" topLeftCell="E17" activePane="bottomRight" state="frozen"/>
      <selection pane="topRight" activeCell="F1" sqref="F1"/>
      <selection pane="bottomLeft" activeCell="A2" sqref="A2"/>
      <selection pane="bottomRight" activeCell="D25" sqref="D25"/>
    </sheetView>
  </sheetViews>
  <sheetFormatPr baseColWidth="10" defaultRowHeight="15" x14ac:dyDescent="0.25"/>
  <cols>
    <col min="1" max="1" width="6.28515625" bestFit="1" customWidth="1"/>
    <col min="2" max="2" width="6" bestFit="1" customWidth="1"/>
    <col min="3" max="3" width="25.85546875" bestFit="1" customWidth="1"/>
    <col min="4" max="4" width="15.7109375" bestFit="1" customWidth="1"/>
    <col min="5" max="5" width="20.140625" bestFit="1" customWidth="1"/>
    <col min="6" max="6" width="13.140625" bestFit="1" customWidth="1"/>
    <col min="7" max="7" width="25" bestFit="1" customWidth="1"/>
    <col min="8" max="8" width="33.42578125" bestFit="1" customWidth="1"/>
    <col min="9" max="9" width="32.7109375" bestFit="1" customWidth="1"/>
    <col min="10" max="10" width="24" bestFit="1" customWidth="1"/>
    <col min="11" max="11" width="16.7109375" bestFit="1" customWidth="1"/>
    <col min="12" max="12" width="23.7109375" bestFit="1" customWidth="1"/>
    <col min="13" max="13" width="23.140625" bestFit="1" customWidth="1"/>
    <col min="14" max="14" width="18" bestFit="1" customWidth="1"/>
    <col min="15" max="15" width="22.140625" bestFit="1" customWidth="1"/>
    <col min="16" max="17" width="13.7109375" customWidth="1"/>
    <col min="18" max="18" width="19.85546875" bestFit="1" customWidth="1"/>
    <col min="19" max="19" width="9.28515625" customWidth="1"/>
    <col min="20" max="20" width="19.28515625" bestFit="1" customWidth="1"/>
    <col min="21" max="21" width="23.42578125" bestFit="1" customWidth="1"/>
    <col min="22" max="22" width="14.85546875" bestFit="1" customWidth="1"/>
    <col min="23" max="23" width="10.42578125" bestFit="1" customWidth="1"/>
    <col min="24" max="24" width="18.7109375" bestFit="1" customWidth="1"/>
    <col min="25" max="25" width="20.140625" bestFit="1" customWidth="1"/>
    <col min="26" max="26" width="29.7109375" style="8" customWidth="1"/>
  </cols>
  <sheetData>
    <row r="1" spans="1:40" s="1" customFormat="1" ht="16.5" thickBot="1" x14ac:dyDescent="0.3">
      <c r="A1" s="1" t="s">
        <v>15</v>
      </c>
      <c r="B1" s="1" t="s">
        <v>0</v>
      </c>
      <c r="C1" s="9" t="s">
        <v>18</v>
      </c>
      <c r="D1" s="9" t="s">
        <v>17</v>
      </c>
      <c r="E1" s="9" t="s">
        <v>19</v>
      </c>
      <c r="F1" s="9" t="s">
        <v>16</v>
      </c>
      <c r="G1" s="9" t="s">
        <v>29</v>
      </c>
      <c r="H1" s="9" t="s">
        <v>51</v>
      </c>
      <c r="I1" s="9" t="s">
        <v>52</v>
      </c>
      <c r="J1" s="9" t="s">
        <v>22</v>
      </c>
      <c r="K1" s="9" t="s">
        <v>33</v>
      </c>
      <c r="L1" s="7" t="s">
        <v>23</v>
      </c>
      <c r="M1" s="7" t="s">
        <v>28</v>
      </c>
      <c r="N1" s="7" t="s">
        <v>20</v>
      </c>
      <c r="O1" s="7" t="s">
        <v>24</v>
      </c>
      <c r="P1" s="1" t="s">
        <v>35</v>
      </c>
      <c r="Q1" s="1" t="s">
        <v>34</v>
      </c>
      <c r="R1" s="7" t="s">
        <v>21</v>
      </c>
      <c r="S1" s="1" t="s">
        <v>14</v>
      </c>
      <c r="T1" s="7" t="s">
        <v>27</v>
      </c>
      <c r="U1" s="7" t="s">
        <v>30</v>
      </c>
      <c r="V1" s="7" t="s">
        <v>26</v>
      </c>
      <c r="W1" s="7" t="s">
        <v>25</v>
      </c>
      <c r="X1" s="7" t="s">
        <v>31</v>
      </c>
      <c r="Y1" s="7" t="s">
        <v>32</v>
      </c>
      <c r="Z1" s="10"/>
      <c r="AA1" s="1" t="s">
        <v>1</v>
      </c>
      <c r="AB1" s="1" t="s">
        <v>2</v>
      </c>
      <c r="AC1" s="1" t="s">
        <v>10</v>
      </c>
      <c r="AD1" s="1" t="s">
        <v>3</v>
      </c>
      <c r="AE1" s="1" t="s">
        <v>4</v>
      </c>
      <c r="AF1" s="1" t="s">
        <v>7</v>
      </c>
      <c r="AG1" s="1" t="s">
        <v>5</v>
      </c>
      <c r="AH1" s="1" t="s">
        <v>6</v>
      </c>
      <c r="AJ1" s="3" t="s">
        <v>8</v>
      </c>
      <c r="AK1" s="1" t="s">
        <v>9</v>
      </c>
      <c r="AL1" s="1" t="s">
        <v>11</v>
      </c>
      <c r="AM1" s="1" t="s">
        <v>12</v>
      </c>
      <c r="AN1" s="1" t="s">
        <v>13</v>
      </c>
    </row>
    <row r="2" spans="1:40" ht="15.75" thickTop="1" x14ac:dyDescent="0.25">
      <c r="A2">
        <v>1</v>
      </c>
      <c r="B2">
        <v>9</v>
      </c>
      <c r="C2" t="s">
        <v>50</v>
      </c>
      <c r="D2" s="16" t="s">
        <v>76</v>
      </c>
      <c r="F2">
        <v>10.94</v>
      </c>
      <c r="G2" t="s">
        <v>44</v>
      </c>
      <c r="H2">
        <v>0</v>
      </c>
      <c r="I2">
        <v>14.55</v>
      </c>
      <c r="L2">
        <f>Constants!$B$2</f>
        <v>2.8</v>
      </c>
      <c r="M2" t="str">
        <f t="shared" ref="M2:M41" si="0">IF(N2&gt;0,G2,"N/A")</f>
        <v>N/A</v>
      </c>
      <c r="N2">
        <f>P2*Constants!$E$2</f>
        <v>0</v>
      </c>
      <c r="P2">
        <f>H2</f>
        <v>0</v>
      </c>
      <c r="Q2">
        <f>P2*Constants!$B$3</f>
        <v>0</v>
      </c>
      <c r="R2">
        <f>IF(Q2-N2&lt;=0, 0, Q2-N2)</f>
        <v>0</v>
      </c>
      <c r="S2">
        <f>I2-P2</f>
        <v>14.55</v>
      </c>
      <c r="T2">
        <f>S2*Constants!$B$2</f>
        <v>40.74</v>
      </c>
      <c r="V2">
        <f>IF(B2="E",1,0)</f>
        <v>0</v>
      </c>
      <c r="W2">
        <f>IF(B2=10,1,0)</f>
        <v>0</v>
      </c>
      <c r="AA2" s="8"/>
      <c r="AJ2" s="4"/>
    </row>
    <row r="3" spans="1:40" x14ac:dyDescent="0.25">
      <c r="A3">
        <v>2</v>
      </c>
      <c r="B3">
        <v>9</v>
      </c>
      <c r="C3" t="s">
        <v>45</v>
      </c>
      <c r="D3" s="16" t="s">
        <v>77</v>
      </c>
      <c r="F3">
        <v>20.13</v>
      </c>
      <c r="G3" t="s">
        <v>44</v>
      </c>
      <c r="H3">
        <v>0</v>
      </c>
      <c r="I3">
        <v>22.05</v>
      </c>
      <c r="L3">
        <f>Constants!$B$2</f>
        <v>2.8</v>
      </c>
      <c r="M3" t="str">
        <f t="shared" si="0"/>
        <v>N/A</v>
      </c>
      <c r="N3">
        <f>P3*Constants!$E$2</f>
        <v>0</v>
      </c>
      <c r="P3">
        <f t="shared" ref="P3:P8" si="1">H3</f>
        <v>0</v>
      </c>
      <c r="Q3">
        <f>P3*Constants!$B$3</f>
        <v>0</v>
      </c>
      <c r="R3">
        <f t="shared" ref="R3:R42" si="2">IF(Q3-N3&lt;=0, 0, Q3-N3)</f>
        <v>0</v>
      </c>
      <c r="S3">
        <f t="shared" ref="S3:S41" si="3">I3-P3</f>
        <v>22.05</v>
      </c>
      <c r="T3">
        <f>S3*Constants!$B$2</f>
        <v>61.739999999999995</v>
      </c>
      <c r="V3">
        <f t="shared" ref="V3:V8" si="4">IF(B3="E",1,0)</f>
        <v>0</v>
      </c>
      <c r="W3">
        <f t="shared" ref="W3:W8" si="5">IF(B3=10,1,0)</f>
        <v>0</v>
      </c>
      <c r="AA3" s="8"/>
      <c r="AJ3" s="4"/>
    </row>
    <row r="4" spans="1:40" x14ac:dyDescent="0.25">
      <c r="A4">
        <v>3</v>
      </c>
      <c r="B4">
        <v>9</v>
      </c>
      <c r="C4" t="s">
        <v>49</v>
      </c>
      <c r="D4" s="16" t="s">
        <v>78</v>
      </c>
      <c r="F4">
        <v>20.61</v>
      </c>
      <c r="G4">
        <v>90</v>
      </c>
      <c r="H4">
        <v>3</v>
      </c>
      <c r="I4">
        <f>21.66</f>
        <v>21.66</v>
      </c>
      <c r="L4">
        <f>Constants!$B$2</f>
        <v>2.8</v>
      </c>
      <c r="M4">
        <f t="shared" si="0"/>
        <v>90</v>
      </c>
      <c r="N4">
        <f>P4*Constants!$E$2</f>
        <v>5.0999999999999996</v>
      </c>
      <c r="P4">
        <f t="shared" si="1"/>
        <v>3</v>
      </c>
      <c r="Q4">
        <f>P4*Constants!$B$3</f>
        <v>12.599999999999998</v>
      </c>
      <c r="R4">
        <f t="shared" si="2"/>
        <v>7.4999999999999982</v>
      </c>
      <c r="S4">
        <f t="shared" si="3"/>
        <v>18.66</v>
      </c>
      <c r="T4">
        <f>S4*Constants!$B$2</f>
        <v>52.247999999999998</v>
      </c>
      <c r="V4">
        <f t="shared" si="4"/>
        <v>0</v>
      </c>
      <c r="W4">
        <f t="shared" si="5"/>
        <v>0</v>
      </c>
      <c r="AA4" s="8"/>
      <c r="AJ4" s="4"/>
    </row>
    <row r="5" spans="1:40" x14ac:dyDescent="0.25">
      <c r="A5">
        <v>4</v>
      </c>
      <c r="B5">
        <v>9</v>
      </c>
      <c r="C5" t="s">
        <v>57</v>
      </c>
      <c r="D5" s="16" t="s">
        <v>108</v>
      </c>
      <c r="E5" s="16" t="s">
        <v>78</v>
      </c>
      <c r="F5">
        <v>3.71</v>
      </c>
      <c r="G5" t="s">
        <v>44</v>
      </c>
      <c r="H5">
        <v>0</v>
      </c>
      <c r="I5">
        <v>8.5500000000000007</v>
      </c>
      <c r="L5">
        <f>Constants!$B$2</f>
        <v>2.8</v>
      </c>
      <c r="M5" t="str">
        <f t="shared" ref="M5" si="6">IF(N5&gt;0,G5,"N/A")</f>
        <v>N/A</v>
      </c>
      <c r="N5">
        <f>P5*Constants!$E$2</f>
        <v>0</v>
      </c>
      <c r="P5">
        <f>H5</f>
        <v>0</v>
      </c>
      <c r="Q5">
        <f>P5*Constants!$B$3</f>
        <v>0</v>
      </c>
      <c r="R5">
        <f>IF(Q5-N5&lt;=0, 0, Q5-N5)</f>
        <v>0</v>
      </c>
      <c r="S5">
        <f>I5-P5</f>
        <v>8.5500000000000007</v>
      </c>
      <c r="T5">
        <f>S5*Constants!$B$2</f>
        <v>23.94</v>
      </c>
      <c r="V5">
        <f>IF(B5="E",1,0)</f>
        <v>0</v>
      </c>
      <c r="W5">
        <f>IF(B5=10,1,0)</f>
        <v>0</v>
      </c>
      <c r="AA5" s="8"/>
      <c r="AJ5" s="4"/>
    </row>
    <row r="6" spans="1:40" x14ac:dyDescent="0.25">
      <c r="A6">
        <v>5</v>
      </c>
      <c r="B6">
        <v>9</v>
      </c>
      <c r="C6" t="s">
        <v>49</v>
      </c>
      <c r="D6" s="16" t="s">
        <v>79</v>
      </c>
      <c r="F6">
        <v>20.98</v>
      </c>
      <c r="G6">
        <v>90</v>
      </c>
      <c r="H6">
        <v>3.6</v>
      </c>
      <c r="I6">
        <v>21.76</v>
      </c>
      <c r="L6">
        <f>Constants!$B$2</f>
        <v>2.8</v>
      </c>
      <c r="M6">
        <f t="shared" si="0"/>
        <v>90</v>
      </c>
      <c r="N6">
        <f>P6*Constants!$E$2</f>
        <v>6.12</v>
      </c>
      <c r="P6">
        <f t="shared" si="1"/>
        <v>3.6</v>
      </c>
      <c r="Q6">
        <f>P6*Constants!$B$3</f>
        <v>15.119999999999997</v>
      </c>
      <c r="R6">
        <f t="shared" si="2"/>
        <v>8.9999999999999964</v>
      </c>
      <c r="S6">
        <f t="shared" si="3"/>
        <v>18.16</v>
      </c>
      <c r="T6">
        <f>S6*Constants!$B$2</f>
        <v>50.847999999999999</v>
      </c>
      <c r="V6">
        <f t="shared" si="4"/>
        <v>0</v>
      </c>
      <c r="W6">
        <f t="shared" si="5"/>
        <v>0</v>
      </c>
      <c r="AA6" s="8"/>
      <c r="AJ6" s="4"/>
    </row>
    <row r="7" spans="1:40" x14ac:dyDescent="0.25">
      <c r="A7">
        <v>6</v>
      </c>
      <c r="B7">
        <v>9</v>
      </c>
      <c r="C7" t="s">
        <v>57</v>
      </c>
      <c r="D7" s="16" t="s">
        <v>109</v>
      </c>
      <c r="E7" s="16" t="s">
        <v>79</v>
      </c>
      <c r="F7">
        <v>3.71</v>
      </c>
      <c r="G7" t="s">
        <v>44</v>
      </c>
      <c r="H7">
        <v>0</v>
      </c>
      <c r="I7">
        <v>8.5500000000000007</v>
      </c>
      <c r="L7">
        <f>Constants!$B$2</f>
        <v>2.8</v>
      </c>
      <c r="M7" t="str">
        <f t="shared" si="0"/>
        <v>N/A</v>
      </c>
      <c r="N7">
        <f>P7*Constants!$E$2</f>
        <v>0</v>
      </c>
      <c r="P7">
        <f>H7</f>
        <v>0</v>
      </c>
      <c r="Q7">
        <f>P7*Constants!$B$3</f>
        <v>0</v>
      </c>
      <c r="R7">
        <f>IF(Q7-N7&lt;=0, 0, Q7-N7)</f>
        <v>0</v>
      </c>
      <c r="S7">
        <f>I7-P7</f>
        <v>8.5500000000000007</v>
      </c>
      <c r="T7">
        <f>S7*Constants!$B$2</f>
        <v>23.94</v>
      </c>
      <c r="V7">
        <f>IF(B7="E",1,0)</f>
        <v>0</v>
      </c>
      <c r="W7">
        <f>IF(B7=10,1,0)</f>
        <v>0</v>
      </c>
      <c r="AA7" s="8"/>
      <c r="AJ7" s="4"/>
    </row>
    <row r="8" spans="1:40" x14ac:dyDescent="0.25">
      <c r="A8">
        <v>7</v>
      </c>
      <c r="B8">
        <v>9</v>
      </c>
      <c r="C8" t="s">
        <v>49</v>
      </c>
      <c r="D8" s="16" t="s">
        <v>80</v>
      </c>
      <c r="F8">
        <v>20.98</v>
      </c>
      <c r="G8">
        <v>90</v>
      </c>
      <c r="H8">
        <v>3.6</v>
      </c>
      <c r="I8">
        <v>21.76</v>
      </c>
      <c r="L8">
        <f>Constants!$B$2</f>
        <v>2.8</v>
      </c>
      <c r="M8">
        <f t="shared" si="0"/>
        <v>90</v>
      </c>
      <c r="N8">
        <f>P8*Constants!$E$2</f>
        <v>6.12</v>
      </c>
      <c r="P8">
        <f t="shared" si="1"/>
        <v>3.6</v>
      </c>
      <c r="Q8">
        <f>P8*Constants!$B$3</f>
        <v>15.119999999999997</v>
      </c>
      <c r="R8">
        <f t="shared" si="2"/>
        <v>8.9999999999999964</v>
      </c>
      <c r="S8">
        <f t="shared" si="3"/>
        <v>18.16</v>
      </c>
      <c r="T8">
        <f>S8*Constants!$B$2</f>
        <v>50.847999999999999</v>
      </c>
      <c r="V8">
        <f t="shared" si="4"/>
        <v>0</v>
      </c>
      <c r="W8">
        <f t="shared" si="5"/>
        <v>0</v>
      </c>
      <c r="AA8" s="8"/>
      <c r="AJ8" s="4"/>
    </row>
    <row r="9" spans="1:40" x14ac:dyDescent="0.25">
      <c r="A9">
        <v>8</v>
      </c>
      <c r="B9">
        <v>9</v>
      </c>
      <c r="C9" t="s">
        <v>57</v>
      </c>
      <c r="D9" s="16" t="s">
        <v>110</v>
      </c>
      <c r="E9" s="16" t="s">
        <v>80</v>
      </c>
      <c r="F9">
        <v>3.71</v>
      </c>
      <c r="G9" t="s">
        <v>44</v>
      </c>
      <c r="H9">
        <v>0</v>
      </c>
      <c r="I9">
        <v>8.5500000000000007</v>
      </c>
      <c r="L9">
        <f>Constants!$B$2</f>
        <v>2.8</v>
      </c>
      <c r="M9" t="str">
        <f t="shared" ref="M9" si="7">IF(N9&gt;0,G9,"N/A")</f>
        <v>N/A</v>
      </c>
      <c r="N9">
        <f>P9*Constants!$E$2</f>
        <v>0</v>
      </c>
      <c r="P9">
        <f>H9</f>
        <v>0</v>
      </c>
      <c r="Q9">
        <f>P9*Constants!$B$3</f>
        <v>0</v>
      </c>
      <c r="R9">
        <f>IF(Q9-N9&lt;=0, 0, Q9-N9)</f>
        <v>0</v>
      </c>
      <c r="S9">
        <f>I9-P9</f>
        <v>8.5500000000000007</v>
      </c>
      <c r="T9">
        <f>S9*Constants!$B$2</f>
        <v>23.94</v>
      </c>
      <c r="V9">
        <f>IF(B9="E",1,0)</f>
        <v>0</v>
      </c>
      <c r="W9">
        <f>IF(B9=10,1,0)</f>
        <v>0</v>
      </c>
      <c r="AA9" s="8"/>
      <c r="AJ9" s="4"/>
    </row>
    <row r="10" spans="1:40" x14ac:dyDescent="0.25">
      <c r="A10">
        <v>9</v>
      </c>
      <c r="B10">
        <v>9</v>
      </c>
      <c r="C10" t="s">
        <v>66</v>
      </c>
      <c r="D10" s="16" t="s">
        <v>81</v>
      </c>
      <c r="F10">
        <v>6.12</v>
      </c>
      <c r="G10" t="s">
        <v>44</v>
      </c>
      <c r="H10">
        <v>0</v>
      </c>
      <c r="I10">
        <v>10.14</v>
      </c>
      <c r="L10">
        <f>Constants!$B$2</f>
        <v>2.8</v>
      </c>
      <c r="M10" t="str">
        <f t="shared" si="0"/>
        <v>N/A</v>
      </c>
      <c r="N10">
        <f>P10*Constants!$E$2</f>
        <v>0</v>
      </c>
      <c r="P10">
        <f t="shared" ref="P10:P41" si="8">H10</f>
        <v>0</v>
      </c>
      <c r="Q10">
        <f>P10*Constants!$B$3</f>
        <v>0</v>
      </c>
      <c r="R10">
        <f t="shared" si="2"/>
        <v>0</v>
      </c>
      <c r="S10">
        <f t="shared" si="3"/>
        <v>10.14</v>
      </c>
      <c r="T10">
        <f>S10*Constants!$B$2</f>
        <v>28.391999999999999</v>
      </c>
      <c r="V10">
        <f t="shared" ref="V10:V41" si="9">IF(B10="E",1,0)</f>
        <v>0</v>
      </c>
      <c r="W10">
        <f t="shared" ref="W10:W41" si="10">IF(B10=10,1,0)</f>
        <v>0</v>
      </c>
      <c r="AA10" s="8"/>
      <c r="AJ10" s="4"/>
    </row>
    <row r="11" spans="1:40" x14ac:dyDescent="0.25">
      <c r="A11">
        <v>10</v>
      </c>
      <c r="B11">
        <v>9</v>
      </c>
      <c r="C11" t="s">
        <v>59</v>
      </c>
      <c r="D11" s="16" t="s">
        <v>82</v>
      </c>
      <c r="F11">
        <v>27.2</v>
      </c>
      <c r="G11">
        <v>90</v>
      </c>
      <c r="H11">
        <v>4.8</v>
      </c>
      <c r="I11">
        <v>25.76</v>
      </c>
      <c r="L11">
        <f>Constants!$B$2</f>
        <v>2.8</v>
      </c>
      <c r="M11">
        <f t="shared" si="0"/>
        <v>90</v>
      </c>
      <c r="N11">
        <f>P11*Constants!$E$2</f>
        <v>8.16</v>
      </c>
      <c r="P11">
        <f t="shared" ref="P11:P17" si="11">H11</f>
        <v>4.8</v>
      </c>
      <c r="Q11">
        <f>P11*Constants!$B$3</f>
        <v>20.159999999999997</v>
      </c>
      <c r="R11">
        <f t="shared" si="2"/>
        <v>11.999999999999996</v>
      </c>
      <c r="S11">
        <f t="shared" ref="S11:S17" si="12">I11-P11</f>
        <v>20.96</v>
      </c>
      <c r="T11">
        <f>S11*Constants!$B$2</f>
        <v>58.687999999999995</v>
      </c>
      <c r="V11">
        <f t="shared" si="9"/>
        <v>0</v>
      </c>
      <c r="W11">
        <f t="shared" si="10"/>
        <v>0</v>
      </c>
      <c r="AA11" s="8"/>
      <c r="AJ11" s="4"/>
    </row>
    <row r="12" spans="1:40" x14ac:dyDescent="0.25">
      <c r="A12">
        <v>11</v>
      </c>
      <c r="B12">
        <v>9</v>
      </c>
      <c r="C12" t="s">
        <v>55</v>
      </c>
      <c r="D12" s="16" t="s">
        <v>83</v>
      </c>
      <c r="F12">
        <v>7.86</v>
      </c>
      <c r="G12">
        <v>90</v>
      </c>
      <c r="H12">
        <v>1.2</v>
      </c>
      <c r="I12">
        <v>17.559999999999999</v>
      </c>
      <c r="L12">
        <f>Constants!$B$2</f>
        <v>2.8</v>
      </c>
      <c r="M12">
        <f t="shared" si="0"/>
        <v>90</v>
      </c>
      <c r="N12">
        <f>P12*Constants!$E$2</f>
        <v>2.04</v>
      </c>
      <c r="P12">
        <f t="shared" si="11"/>
        <v>1.2</v>
      </c>
      <c r="Q12">
        <f>P12*Constants!$B$3</f>
        <v>5.0399999999999991</v>
      </c>
      <c r="R12">
        <f t="shared" si="2"/>
        <v>2.9999999999999991</v>
      </c>
      <c r="S12">
        <f t="shared" si="12"/>
        <v>16.36</v>
      </c>
      <c r="T12">
        <f>S12*Constants!$B$2</f>
        <v>45.807999999999993</v>
      </c>
      <c r="V12">
        <f t="shared" si="9"/>
        <v>0</v>
      </c>
      <c r="W12">
        <f t="shared" si="10"/>
        <v>0</v>
      </c>
      <c r="AA12" s="8"/>
      <c r="AJ12" s="4"/>
    </row>
    <row r="13" spans="1:40" x14ac:dyDescent="0.25">
      <c r="A13">
        <v>12</v>
      </c>
      <c r="B13">
        <v>9</v>
      </c>
      <c r="C13" t="s">
        <v>55</v>
      </c>
      <c r="D13" s="16" t="s">
        <v>84</v>
      </c>
      <c r="F13">
        <v>14.02</v>
      </c>
      <c r="G13">
        <v>90</v>
      </c>
      <c r="H13">
        <v>2.4</v>
      </c>
      <c r="I13">
        <v>17.559999999999999</v>
      </c>
      <c r="L13">
        <f>Constants!$B$2</f>
        <v>2.8</v>
      </c>
      <c r="M13">
        <f t="shared" si="0"/>
        <v>90</v>
      </c>
      <c r="N13">
        <f>P13*Constants!$E$2</f>
        <v>4.08</v>
      </c>
      <c r="P13">
        <f t="shared" si="11"/>
        <v>2.4</v>
      </c>
      <c r="Q13">
        <f>P13*Constants!$B$3</f>
        <v>10.079999999999998</v>
      </c>
      <c r="R13">
        <f t="shared" si="2"/>
        <v>5.9999999999999982</v>
      </c>
      <c r="S13">
        <f t="shared" si="12"/>
        <v>15.159999999999998</v>
      </c>
      <c r="T13">
        <f>S13*Constants!$B$2</f>
        <v>42.447999999999993</v>
      </c>
      <c r="V13">
        <f t="shared" si="9"/>
        <v>0</v>
      </c>
      <c r="W13">
        <f t="shared" si="10"/>
        <v>0</v>
      </c>
      <c r="AA13" s="8"/>
      <c r="AJ13" s="4"/>
    </row>
    <row r="14" spans="1:40" x14ac:dyDescent="0.25">
      <c r="A14">
        <v>13</v>
      </c>
      <c r="B14">
        <v>9</v>
      </c>
      <c r="C14" t="s">
        <v>49</v>
      </c>
      <c r="D14" s="16" t="s">
        <v>85</v>
      </c>
      <c r="F14">
        <v>19.29</v>
      </c>
      <c r="G14">
        <v>90</v>
      </c>
      <c r="H14">
        <v>3.6</v>
      </c>
      <c r="I14">
        <v>19.66</v>
      </c>
      <c r="L14">
        <f>Constants!$B$2</f>
        <v>2.8</v>
      </c>
      <c r="M14">
        <f t="shared" si="0"/>
        <v>90</v>
      </c>
      <c r="N14">
        <f>P14*Constants!$E$2</f>
        <v>6.12</v>
      </c>
      <c r="P14">
        <f t="shared" si="11"/>
        <v>3.6</v>
      </c>
      <c r="Q14">
        <f>P14*Constants!$B$3</f>
        <v>15.119999999999997</v>
      </c>
      <c r="R14">
        <f t="shared" si="2"/>
        <v>8.9999999999999964</v>
      </c>
      <c r="S14">
        <f t="shared" si="12"/>
        <v>16.059999999999999</v>
      </c>
      <c r="T14">
        <f>S14*Constants!$B$2</f>
        <v>44.967999999999996</v>
      </c>
      <c r="V14">
        <f t="shared" si="9"/>
        <v>0</v>
      </c>
      <c r="W14">
        <f t="shared" si="10"/>
        <v>0</v>
      </c>
      <c r="AA14" s="8"/>
      <c r="AJ14" s="4"/>
    </row>
    <row r="15" spans="1:40" x14ac:dyDescent="0.25">
      <c r="A15">
        <v>14</v>
      </c>
      <c r="B15">
        <v>9</v>
      </c>
      <c r="C15" t="s">
        <v>57</v>
      </c>
      <c r="D15" s="16" t="s">
        <v>86</v>
      </c>
      <c r="E15" s="16" t="s">
        <v>85</v>
      </c>
      <c r="F15">
        <v>3.71</v>
      </c>
      <c r="G15" t="s">
        <v>44</v>
      </c>
      <c r="H15">
        <v>0</v>
      </c>
      <c r="I15">
        <v>8.76</v>
      </c>
      <c r="L15">
        <f>Constants!$B$2</f>
        <v>2.8</v>
      </c>
      <c r="M15" t="str">
        <f t="shared" si="0"/>
        <v>N/A</v>
      </c>
      <c r="N15">
        <f>P15*Constants!$E$2</f>
        <v>0</v>
      </c>
      <c r="P15">
        <f t="shared" si="11"/>
        <v>0</v>
      </c>
      <c r="Q15">
        <f>P15*Constants!$B$3</f>
        <v>0</v>
      </c>
      <c r="R15">
        <f t="shared" si="2"/>
        <v>0</v>
      </c>
      <c r="S15">
        <f t="shared" si="12"/>
        <v>8.76</v>
      </c>
      <c r="T15">
        <f>S15*Constants!$B$2</f>
        <v>24.527999999999999</v>
      </c>
      <c r="V15">
        <f t="shared" si="9"/>
        <v>0</v>
      </c>
      <c r="W15">
        <f t="shared" si="10"/>
        <v>0</v>
      </c>
      <c r="AA15" s="8"/>
      <c r="AJ15" s="4"/>
    </row>
    <row r="16" spans="1:40" x14ac:dyDescent="0.25">
      <c r="A16">
        <v>15</v>
      </c>
      <c r="B16">
        <v>9</v>
      </c>
      <c r="C16" t="s">
        <v>49</v>
      </c>
      <c r="D16" s="16" t="s">
        <v>87</v>
      </c>
      <c r="F16">
        <v>20.98</v>
      </c>
      <c r="G16">
        <v>90</v>
      </c>
      <c r="H16">
        <v>3.6</v>
      </c>
      <c r="I16">
        <v>21.76</v>
      </c>
      <c r="L16">
        <f>Constants!$B$2</f>
        <v>2.8</v>
      </c>
      <c r="M16">
        <f t="shared" si="0"/>
        <v>90</v>
      </c>
      <c r="N16">
        <f>P16*Constants!$E$2</f>
        <v>6.12</v>
      </c>
      <c r="P16">
        <f t="shared" si="11"/>
        <v>3.6</v>
      </c>
      <c r="Q16">
        <f>P16*Constants!$B$3</f>
        <v>15.119999999999997</v>
      </c>
      <c r="R16">
        <f t="shared" si="2"/>
        <v>8.9999999999999964</v>
      </c>
      <c r="S16">
        <f t="shared" si="12"/>
        <v>18.16</v>
      </c>
      <c r="T16">
        <f>S16*Constants!$B$2</f>
        <v>50.847999999999999</v>
      </c>
      <c r="V16">
        <f t="shared" si="9"/>
        <v>0</v>
      </c>
      <c r="W16">
        <f t="shared" si="10"/>
        <v>0</v>
      </c>
      <c r="AA16" s="8"/>
      <c r="AJ16" s="4"/>
    </row>
    <row r="17" spans="1:36" x14ac:dyDescent="0.25">
      <c r="A17">
        <v>16</v>
      </c>
      <c r="B17">
        <v>9</v>
      </c>
      <c r="C17" t="s">
        <v>57</v>
      </c>
      <c r="D17" s="16" t="s">
        <v>111</v>
      </c>
      <c r="E17" s="16" t="s">
        <v>87</v>
      </c>
      <c r="F17">
        <v>3.71</v>
      </c>
      <c r="G17" t="s">
        <v>44</v>
      </c>
      <c r="H17">
        <v>0</v>
      </c>
      <c r="I17">
        <v>8.76</v>
      </c>
      <c r="L17">
        <f>Constants!$B$2</f>
        <v>2.8</v>
      </c>
      <c r="M17" t="str">
        <f t="shared" ref="M17" si="13">IF(N17&gt;0,G17,"N/A")</f>
        <v>N/A</v>
      </c>
      <c r="N17">
        <f>P17*Constants!$E$2</f>
        <v>0</v>
      </c>
      <c r="P17">
        <f t="shared" si="11"/>
        <v>0</v>
      </c>
      <c r="Q17">
        <f>P17*Constants!$B$3</f>
        <v>0</v>
      </c>
      <c r="R17">
        <f t="shared" ref="R17" si="14">IF(Q17-N17&lt;=0, 0, Q17-N17)</f>
        <v>0</v>
      </c>
      <c r="S17">
        <f t="shared" si="12"/>
        <v>8.76</v>
      </c>
      <c r="T17">
        <f>S17*Constants!$B$2</f>
        <v>24.527999999999999</v>
      </c>
      <c r="V17">
        <f t="shared" ref="V17" si="15">IF(B17="E",1,0)</f>
        <v>0</v>
      </c>
      <c r="W17">
        <f t="shared" ref="W17" si="16">IF(B17=10,1,0)</f>
        <v>0</v>
      </c>
      <c r="AA17" s="8"/>
      <c r="AJ17" s="4"/>
    </row>
    <row r="18" spans="1:36" x14ac:dyDescent="0.25">
      <c r="A18">
        <v>17</v>
      </c>
      <c r="B18">
        <v>9</v>
      </c>
      <c r="C18" t="s">
        <v>49</v>
      </c>
      <c r="D18" s="16" t="s">
        <v>88</v>
      </c>
      <c r="F18">
        <v>20.98</v>
      </c>
      <c r="G18">
        <v>90</v>
      </c>
      <c r="H18">
        <v>3.6</v>
      </c>
      <c r="I18">
        <v>21.76</v>
      </c>
      <c r="L18">
        <f>Constants!$B$2</f>
        <v>2.8</v>
      </c>
      <c r="M18">
        <f t="shared" si="0"/>
        <v>90</v>
      </c>
      <c r="N18">
        <f>P18*Constants!$E$2</f>
        <v>6.12</v>
      </c>
      <c r="P18">
        <f t="shared" si="8"/>
        <v>3.6</v>
      </c>
      <c r="Q18">
        <f>P18*Constants!$B$3</f>
        <v>15.119999999999997</v>
      </c>
      <c r="R18">
        <f t="shared" si="2"/>
        <v>8.9999999999999964</v>
      </c>
      <c r="S18">
        <f t="shared" si="3"/>
        <v>18.16</v>
      </c>
      <c r="T18">
        <f>S18*Constants!$B$2</f>
        <v>50.847999999999999</v>
      </c>
      <c r="V18">
        <f t="shared" si="9"/>
        <v>0</v>
      </c>
      <c r="W18">
        <f t="shared" si="10"/>
        <v>0</v>
      </c>
      <c r="AA18" s="8"/>
      <c r="AJ18" s="4"/>
    </row>
    <row r="19" spans="1:36" x14ac:dyDescent="0.25">
      <c r="A19">
        <v>18</v>
      </c>
      <c r="B19">
        <v>9</v>
      </c>
      <c r="C19" t="s">
        <v>57</v>
      </c>
      <c r="D19" s="16" t="s">
        <v>89</v>
      </c>
      <c r="E19" s="16" t="s">
        <v>88</v>
      </c>
      <c r="F19">
        <v>3.71</v>
      </c>
      <c r="G19" t="s">
        <v>44</v>
      </c>
      <c r="H19">
        <v>0</v>
      </c>
      <c r="I19">
        <v>8.76</v>
      </c>
      <c r="L19">
        <f>Constants!$B$2</f>
        <v>2.8</v>
      </c>
      <c r="M19" t="str">
        <f t="shared" si="0"/>
        <v>N/A</v>
      </c>
      <c r="N19">
        <f>P19*Constants!$E$2</f>
        <v>0</v>
      </c>
      <c r="P19">
        <f t="shared" si="8"/>
        <v>0</v>
      </c>
      <c r="Q19">
        <f>P19*Constants!$B$3</f>
        <v>0</v>
      </c>
      <c r="R19">
        <f t="shared" si="2"/>
        <v>0</v>
      </c>
      <c r="S19">
        <f t="shared" si="3"/>
        <v>8.76</v>
      </c>
      <c r="T19">
        <f>S19*Constants!$B$2</f>
        <v>24.527999999999999</v>
      </c>
      <c r="V19">
        <f t="shared" si="9"/>
        <v>0</v>
      </c>
      <c r="W19">
        <f t="shared" si="10"/>
        <v>0</v>
      </c>
      <c r="AA19" s="8"/>
      <c r="AJ19" s="4"/>
    </row>
    <row r="20" spans="1:36" x14ac:dyDescent="0.25">
      <c r="A20">
        <v>19</v>
      </c>
      <c r="B20">
        <v>9</v>
      </c>
      <c r="C20" t="s">
        <v>49</v>
      </c>
      <c r="D20" s="16" t="s">
        <v>90</v>
      </c>
      <c r="F20">
        <v>20.329999999999998</v>
      </c>
      <c r="G20">
        <v>90</v>
      </c>
      <c r="H20">
        <f>3.3+3.6</f>
        <v>6.9</v>
      </c>
      <c r="I20">
        <v>20.94</v>
      </c>
      <c r="L20">
        <f>Constants!$B$2</f>
        <v>2.8</v>
      </c>
      <c r="M20">
        <f t="shared" si="0"/>
        <v>90</v>
      </c>
      <c r="N20">
        <f>P20*Constants!$E$2</f>
        <v>11.73</v>
      </c>
      <c r="P20">
        <f t="shared" si="8"/>
        <v>6.9</v>
      </c>
      <c r="Q20">
        <f>P20*Constants!$B$3</f>
        <v>28.979999999999997</v>
      </c>
      <c r="R20">
        <f t="shared" si="2"/>
        <v>17.249999999999996</v>
      </c>
      <c r="S20">
        <f t="shared" si="3"/>
        <v>14.040000000000001</v>
      </c>
      <c r="T20">
        <f>S20*Constants!$B$2</f>
        <v>39.311999999999998</v>
      </c>
      <c r="V20">
        <f t="shared" si="9"/>
        <v>0</v>
      </c>
      <c r="W20">
        <f t="shared" si="10"/>
        <v>0</v>
      </c>
      <c r="AA20" s="8"/>
      <c r="AJ20" s="4"/>
    </row>
    <row r="21" spans="1:36" x14ac:dyDescent="0.25">
      <c r="A21">
        <v>20</v>
      </c>
      <c r="B21">
        <v>9</v>
      </c>
      <c r="C21" t="s">
        <v>49</v>
      </c>
      <c r="D21" s="16" t="s">
        <v>91</v>
      </c>
      <c r="F21">
        <v>20.399999999999999</v>
      </c>
      <c r="G21">
        <v>270</v>
      </c>
      <c r="H21">
        <f>3.3+3.6</f>
        <v>6.9</v>
      </c>
      <c r="I21">
        <v>20.84</v>
      </c>
      <c r="J21">
        <f>3.3+3.6</f>
        <v>6.9</v>
      </c>
      <c r="L21">
        <f>Constants!$B$2</f>
        <v>2.8</v>
      </c>
      <c r="M21">
        <f t="shared" si="0"/>
        <v>270</v>
      </c>
      <c r="N21">
        <f>P21*Constants!$E$2</f>
        <v>11.73</v>
      </c>
      <c r="P21">
        <f t="shared" si="8"/>
        <v>6.9</v>
      </c>
      <c r="Q21">
        <f>P21*Constants!$B$3</f>
        <v>28.979999999999997</v>
      </c>
      <c r="R21">
        <f t="shared" si="2"/>
        <v>17.249999999999996</v>
      </c>
      <c r="S21">
        <f t="shared" si="3"/>
        <v>13.94</v>
      </c>
      <c r="T21">
        <f>S21*Constants!$B$2</f>
        <v>39.031999999999996</v>
      </c>
      <c r="V21">
        <f t="shared" si="9"/>
        <v>0</v>
      </c>
      <c r="W21">
        <f t="shared" si="10"/>
        <v>0</v>
      </c>
      <c r="AA21" s="8"/>
      <c r="AJ21" s="4"/>
    </row>
    <row r="22" spans="1:36" x14ac:dyDescent="0.25">
      <c r="A22">
        <v>21</v>
      </c>
      <c r="B22">
        <v>9</v>
      </c>
      <c r="C22" t="s">
        <v>57</v>
      </c>
      <c r="D22" s="16" t="s">
        <v>112</v>
      </c>
      <c r="E22" s="16" t="s">
        <v>91</v>
      </c>
      <c r="F22">
        <v>3.71</v>
      </c>
      <c r="G22" t="s">
        <v>44</v>
      </c>
      <c r="H22">
        <v>0</v>
      </c>
      <c r="I22">
        <v>8.76</v>
      </c>
      <c r="L22">
        <f>Constants!$B$2</f>
        <v>2.8</v>
      </c>
      <c r="M22" t="str">
        <f t="shared" ref="M22" si="17">IF(N22&gt;0,G22,"N/A")</f>
        <v>N/A</v>
      </c>
      <c r="N22">
        <f>P22*Constants!$E$2</f>
        <v>0</v>
      </c>
      <c r="P22">
        <f t="shared" ref="P22" si="18">H22</f>
        <v>0</v>
      </c>
      <c r="Q22">
        <f>P22*Constants!$B$3</f>
        <v>0</v>
      </c>
      <c r="R22">
        <f t="shared" ref="R22" si="19">IF(Q22-N22&lt;=0, 0, Q22-N22)</f>
        <v>0</v>
      </c>
      <c r="S22">
        <f t="shared" ref="S22" si="20">I22-P22</f>
        <v>8.76</v>
      </c>
      <c r="T22">
        <f>S22*Constants!$B$2</f>
        <v>24.527999999999999</v>
      </c>
      <c r="V22">
        <f t="shared" ref="V22" si="21">IF(B22="E",1,0)</f>
        <v>0</v>
      </c>
      <c r="W22">
        <f t="shared" ref="W22" si="22">IF(B22=10,1,0)</f>
        <v>0</v>
      </c>
      <c r="AA22" s="8"/>
      <c r="AJ22" s="4"/>
    </row>
    <row r="23" spans="1:36" x14ac:dyDescent="0.25">
      <c r="A23">
        <v>22</v>
      </c>
      <c r="B23">
        <v>9</v>
      </c>
      <c r="C23" t="s">
        <v>49</v>
      </c>
      <c r="D23" s="16" t="s">
        <v>92</v>
      </c>
      <c r="F23">
        <v>20.97</v>
      </c>
      <c r="G23">
        <v>270</v>
      </c>
      <c r="H23">
        <v>3.6</v>
      </c>
      <c r="I23">
        <v>21.76</v>
      </c>
      <c r="L23">
        <f>Constants!$B$2</f>
        <v>2.8</v>
      </c>
      <c r="M23">
        <f t="shared" si="0"/>
        <v>270</v>
      </c>
      <c r="N23">
        <f>P23*Constants!$E$2</f>
        <v>6.12</v>
      </c>
      <c r="P23">
        <f t="shared" si="8"/>
        <v>3.6</v>
      </c>
      <c r="Q23">
        <f>P23*Constants!$B$3</f>
        <v>15.119999999999997</v>
      </c>
      <c r="R23">
        <f t="shared" si="2"/>
        <v>8.9999999999999964</v>
      </c>
      <c r="S23">
        <f t="shared" si="3"/>
        <v>18.16</v>
      </c>
      <c r="T23">
        <f>S23*Constants!$B$2</f>
        <v>50.847999999999999</v>
      </c>
      <c r="V23">
        <f t="shared" si="9"/>
        <v>0</v>
      </c>
      <c r="W23">
        <f t="shared" si="10"/>
        <v>0</v>
      </c>
      <c r="AA23" s="8"/>
      <c r="AJ23" s="4"/>
    </row>
    <row r="24" spans="1:36" x14ac:dyDescent="0.25">
      <c r="A24">
        <v>23</v>
      </c>
      <c r="B24">
        <v>9</v>
      </c>
      <c r="C24" t="s">
        <v>57</v>
      </c>
      <c r="D24" s="16" t="s">
        <v>113</v>
      </c>
      <c r="E24" s="16" t="s">
        <v>92</v>
      </c>
      <c r="F24">
        <v>3.71</v>
      </c>
      <c r="G24" t="s">
        <v>44</v>
      </c>
      <c r="H24">
        <v>0</v>
      </c>
      <c r="I24">
        <v>8.76</v>
      </c>
      <c r="L24">
        <f>Constants!$B$2</f>
        <v>2.8</v>
      </c>
      <c r="M24" t="str">
        <f t="shared" si="0"/>
        <v>N/A</v>
      </c>
      <c r="N24">
        <f>P24*Constants!$E$2</f>
        <v>0</v>
      </c>
      <c r="P24">
        <f t="shared" si="8"/>
        <v>0</v>
      </c>
      <c r="Q24">
        <f>P24*Constants!$B$3</f>
        <v>0</v>
      </c>
      <c r="R24">
        <f t="shared" si="2"/>
        <v>0</v>
      </c>
      <c r="S24">
        <f t="shared" si="3"/>
        <v>8.76</v>
      </c>
      <c r="T24">
        <f>S24*Constants!$B$2</f>
        <v>24.527999999999999</v>
      </c>
      <c r="V24">
        <f t="shared" si="9"/>
        <v>0</v>
      </c>
      <c r="W24">
        <f t="shared" si="10"/>
        <v>0</v>
      </c>
      <c r="AA24" s="8"/>
      <c r="AJ24" s="4"/>
    </row>
    <row r="25" spans="1:36" x14ac:dyDescent="0.25">
      <c r="A25">
        <v>24</v>
      </c>
      <c r="B25">
        <v>9</v>
      </c>
      <c r="C25" t="s">
        <v>49</v>
      </c>
      <c r="D25" s="16" t="s">
        <v>93</v>
      </c>
      <c r="F25">
        <v>20.98</v>
      </c>
      <c r="G25">
        <v>270</v>
      </c>
      <c r="H25">
        <v>3.6</v>
      </c>
      <c r="I25">
        <v>21.76</v>
      </c>
      <c r="L25">
        <f>Constants!$B$2</f>
        <v>2.8</v>
      </c>
      <c r="M25">
        <f t="shared" si="0"/>
        <v>270</v>
      </c>
      <c r="N25">
        <f>P25*Constants!$E$2</f>
        <v>6.12</v>
      </c>
      <c r="P25">
        <f t="shared" si="8"/>
        <v>3.6</v>
      </c>
      <c r="Q25">
        <f>P25*Constants!$B$3</f>
        <v>15.119999999999997</v>
      </c>
      <c r="R25">
        <f t="shared" si="2"/>
        <v>8.9999999999999964</v>
      </c>
      <c r="S25">
        <f t="shared" si="3"/>
        <v>18.16</v>
      </c>
      <c r="T25">
        <f>S25*Constants!$B$2</f>
        <v>50.847999999999999</v>
      </c>
      <c r="V25">
        <f t="shared" si="9"/>
        <v>0</v>
      </c>
      <c r="W25">
        <f t="shared" si="10"/>
        <v>0</v>
      </c>
      <c r="AA25" s="8"/>
      <c r="AJ25" s="4"/>
    </row>
    <row r="26" spans="1:36" x14ac:dyDescent="0.25">
      <c r="A26">
        <v>25</v>
      </c>
      <c r="B26">
        <v>9</v>
      </c>
      <c r="C26" t="s">
        <v>57</v>
      </c>
      <c r="D26" s="16" t="s">
        <v>114</v>
      </c>
      <c r="E26" s="16" t="s">
        <v>93</v>
      </c>
      <c r="F26">
        <v>3.71</v>
      </c>
      <c r="G26" t="s">
        <v>44</v>
      </c>
      <c r="H26">
        <v>0</v>
      </c>
      <c r="I26">
        <v>8.76</v>
      </c>
      <c r="L26">
        <f>Constants!$B$2</f>
        <v>2.8</v>
      </c>
      <c r="M26" t="str">
        <f t="shared" ref="M26" si="23">IF(N26&gt;0,G26,"N/A")</f>
        <v>N/A</v>
      </c>
      <c r="N26">
        <f>P26*Constants!$E$2</f>
        <v>0</v>
      </c>
      <c r="P26">
        <f t="shared" ref="P26" si="24">H26</f>
        <v>0</v>
      </c>
      <c r="Q26">
        <f>P26*Constants!$B$3</f>
        <v>0</v>
      </c>
      <c r="R26">
        <f t="shared" ref="R26" si="25">IF(Q26-N26&lt;=0, 0, Q26-N26)</f>
        <v>0</v>
      </c>
      <c r="S26">
        <f t="shared" ref="S26" si="26">I26-P26</f>
        <v>8.76</v>
      </c>
      <c r="T26">
        <f>S26*Constants!$B$2</f>
        <v>24.527999999999999</v>
      </c>
      <c r="V26">
        <f t="shared" ref="V26" si="27">IF(B26="E",1,0)</f>
        <v>0</v>
      </c>
      <c r="W26">
        <f t="shared" ref="W26" si="28">IF(B26=10,1,0)</f>
        <v>0</v>
      </c>
      <c r="AA26" s="8"/>
      <c r="AJ26" s="4"/>
    </row>
    <row r="27" spans="1:36" x14ac:dyDescent="0.25">
      <c r="A27">
        <v>26</v>
      </c>
      <c r="B27">
        <v>9</v>
      </c>
      <c r="C27" t="s">
        <v>49</v>
      </c>
      <c r="D27" s="16" t="s">
        <v>94</v>
      </c>
      <c r="F27">
        <v>19.309999999999999</v>
      </c>
      <c r="G27">
        <v>270</v>
      </c>
      <c r="H27">
        <v>3.6</v>
      </c>
      <c r="I27">
        <v>19.66</v>
      </c>
      <c r="L27">
        <f>Constants!$B$2</f>
        <v>2.8</v>
      </c>
      <c r="M27">
        <f t="shared" si="0"/>
        <v>270</v>
      </c>
      <c r="N27">
        <f>P27*Constants!$E$2</f>
        <v>6.12</v>
      </c>
      <c r="P27">
        <f t="shared" si="8"/>
        <v>3.6</v>
      </c>
      <c r="Q27">
        <f>P27*Constants!$B$3</f>
        <v>15.119999999999997</v>
      </c>
      <c r="R27">
        <f t="shared" si="2"/>
        <v>8.9999999999999964</v>
      </c>
      <c r="S27">
        <f t="shared" si="3"/>
        <v>16.059999999999999</v>
      </c>
      <c r="T27">
        <f>S27*Constants!$B$2</f>
        <v>44.967999999999996</v>
      </c>
      <c r="V27">
        <f t="shared" si="9"/>
        <v>0</v>
      </c>
      <c r="W27">
        <f t="shared" si="10"/>
        <v>0</v>
      </c>
      <c r="AA27" s="8"/>
      <c r="AJ27" s="4"/>
    </row>
    <row r="28" spans="1:36" x14ac:dyDescent="0.25">
      <c r="A28">
        <v>27</v>
      </c>
      <c r="B28">
        <v>9</v>
      </c>
      <c r="C28" t="s">
        <v>57</v>
      </c>
      <c r="D28" s="16" t="s">
        <v>115</v>
      </c>
      <c r="E28" s="16" t="s">
        <v>94</v>
      </c>
      <c r="F28">
        <v>3.71</v>
      </c>
      <c r="G28" t="s">
        <v>44</v>
      </c>
      <c r="H28">
        <v>0</v>
      </c>
      <c r="I28">
        <v>8.75</v>
      </c>
      <c r="L28">
        <f>Constants!$B$2</f>
        <v>2.8</v>
      </c>
      <c r="M28" t="str">
        <f t="shared" si="0"/>
        <v>N/A</v>
      </c>
      <c r="N28">
        <f>P28*Constants!$E$2</f>
        <v>0</v>
      </c>
      <c r="P28">
        <f t="shared" si="8"/>
        <v>0</v>
      </c>
      <c r="Q28">
        <f>P28*Constants!$B$3</f>
        <v>0</v>
      </c>
      <c r="R28">
        <f t="shared" si="2"/>
        <v>0</v>
      </c>
      <c r="S28">
        <f t="shared" si="3"/>
        <v>8.75</v>
      </c>
      <c r="T28">
        <f>S28*Constants!$B$2</f>
        <v>24.5</v>
      </c>
      <c r="V28">
        <f t="shared" si="9"/>
        <v>0</v>
      </c>
      <c r="W28">
        <f t="shared" si="10"/>
        <v>0</v>
      </c>
      <c r="AA28" s="8"/>
      <c r="AJ28" s="4"/>
    </row>
    <row r="29" spans="1:36" x14ac:dyDescent="0.25">
      <c r="A29">
        <v>28</v>
      </c>
      <c r="B29">
        <v>9</v>
      </c>
      <c r="C29" t="s">
        <v>62</v>
      </c>
      <c r="D29" s="16" t="s">
        <v>95</v>
      </c>
      <c r="F29">
        <v>20.95</v>
      </c>
      <c r="G29" t="s">
        <v>44</v>
      </c>
      <c r="H29">
        <v>0</v>
      </c>
      <c r="I29">
        <v>24.8</v>
      </c>
      <c r="L29">
        <f>Constants!$B$2</f>
        <v>2.8</v>
      </c>
      <c r="M29" t="str">
        <f t="shared" si="0"/>
        <v>N/A</v>
      </c>
      <c r="N29">
        <f>P29*Constants!$E$2</f>
        <v>0</v>
      </c>
      <c r="P29">
        <f t="shared" si="8"/>
        <v>0</v>
      </c>
      <c r="Q29">
        <f>P29*Constants!$B$3</f>
        <v>0</v>
      </c>
      <c r="R29">
        <f t="shared" si="2"/>
        <v>0</v>
      </c>
      <c r="S29">
        <f t="shared" si="3"/>
        <v>24.8</v>
      </c>
      <c r="T29">
        <f>S29*Constants!$B$2</f>
        <v>69.44</v>
      </c>
      <c r="V29">
        <f t="shared" si="9"/>
        <v>0</v>
      </c>
      <c r="W29">
        <f t="shared" si="10"/>
        <v>0</v>
      </c>
      <c r="AA29" s="8"/>
      <c r="AJ29" s="4"/>
    </row>
    <row r="30" spans="1:36" x14ac:dyDescent="0.25">
      <c r="A30">
        <v>29</v>
      </c>
      <c r="B30">
        <v>9</v>
      </c>
      <c r="C30" t="s">
        <v>59</v>
      </c>
      <c r="D30" s="16" t="s">
        <v>96</v>
      </c>
      <c r="F30">
        <v>15.93</v>
      </c>
      <c r="G30">
        <v>270</v>
      </c>
      <c r="H30">
        <v>4.8</v>
      </c>
      <c r="I30">
        <v>17.850000000000001</v>
      </c>
      <c r="L30">
        <f>Constants!$B$2</f>
        <v>2.8</v>
      </c>
      <c r="M30">
        <f t="shared" si="0"/>
        <v>270</v>
      </c>
      <c r="N30">
        <f>P30*Constants!$E$2</f>
        <v>8.16</v>
      </c>
      <c r="P30">
        <f t="shared" si="8"/>
        <v>4.8</v>
      </c>
      <c r="Q30">
        <f>P30*Constants!$B$3</f>
        <v>20.159999999999997</v>
      </c>
      <c r="R30">
        <f t="shared" si="2"/>
        <v>11.999999999999996</v>
      </c>
      <c r="S30">
        <f t="shared" si="3"/>
        <v>13.05</v>
      </c>
      <c r="T30">
        <f>S30*Constants!$B$2</f>
        <v>36.54</v>
      </c>
      <c r="V30">
        <f t="shared" si="9"/>
        <v>0</v>
      </c>
      <c r="W30">
        <f t="shared" si="10"/>
        <v>0</v>
      </c>
      <c r="AA30" s="8"/>
      <c r="AJ30" s="4"/>
    </row>
    <row r="31" spans="1:36" x14ac:dyDescent="0.25">
      <c r="A31">
        <v>30</v>
      </c>
      <c r="B31">
        <v>9</v>
      </c>
      <c r="C31" t="s">
        <v>50</v>
      </c>
      <c r="D31" s="16" t="s">
        <v>97</v>
      </c>
      <c r="F31">
        <v>12.39</v>
      </c>
      <c r="G31">
        <v>270</v>
      </c>
      <c r="H31">
        <v>3.6</v>
      </c>
      <c r="I31">
        <v>14.65</v>
      </c>
      <c r="L31">
        <f>Constants!$B$2</f>
        <v>2.8</v>
      </c>
      <c r="M31">
        <f t="shared" si="0"/>
        <v>270</v>
      </c>
      <c r="N31">
        <f>P31*Constants!$E$2</f>
        <v>6.12</v>
      </c>
      <c r="P31">
        <f t="shared" si="8"/>
        <v>3.6</v>
      </c>
      <c r="Q31">
        <f>P31*Constants!$B$3</f>
        <v>15.119999999999997</v>
      </c>
      <c r="R31">
        <f t="shared" si="2"/>
        <v>8.9999999999999964</v>
      </c>
      <c r="S31">
        <f t="shared" si="3"/>
        <v>11.05</v>
      </c>
      <c r="T31">
        <f>S31*Constants!$B$2</f>
        <v>30.94</v>
      </c>
      <c r="V31">
        <f t="shared" si="9"/>
        <v>0</v>
      </c>
      <c r="W31">
        <f t="shared" si="10"/>
        <v>0</v>
      </c>
      <c r="AA31" s="8"/>
      <c r="AJ31" s="4"/>
    </row>
    <row r="32" spans="1:36" x14ac:dyDescent="0.25">
      <c r="A32">
        <v>31</v>
      </c>
      <c r="B32">
        <v>9</v>
      </c>
      <c r="C32" t="s">
        <v>49</v>
      </c>
      <c r="D32" s="16" t="s">
        <v>98</v>
      </c>
      <c r="F32">
        <v>20.98</v>
      </c>
      <c r="G32">
        <v>270</v>
      </c>
      <c r="H32">
        <v>3.6</v>
      </c>
      <c r="I32">
        <v>21.76</v>
      </c>
      <c r="L32">
        <f>Constants!$B$2</f>
        <v>2.8</v>
      </c>
      <c r="M32">
        <f t="shared" si="0"/>
        <v>270</v>
      </c>
      <c r="N32">
        <f>P32*Constants!$E$2</f>
        <v>6.12</v>
      </c>
      <c r="P32">
        <f t="shared" si="8"/>
        <v>3.6</v>
      </c>
      <c r="Q32">
        <f>P32*Constants!$B$3</f>
        <v>15.119999999999997</v>
      </c>
      <c r="R32">
        <f t="shared" si="2"/>
        <v>8.9999999999999964</v>
      </c>
      <c r="S32">
        <f t="shared" si="3"/>
        <v>18.16</v>
      </c>
      <c r="T32">
        <f>S32*Constants!$B$2</f>
        <v>50.847999999999999</v>
      </c>
      <c r="V32">
        <f t="shared" si="9"/>
        <v>0</v>
      </c>
      <c r="W32">
        <f t="shared" si="10"/>
        <v>0</v>
      </c>
      <c r="AA32" s="8"/>
      <c r="AJ32" s="4"/>
    </row>
    <row r="33" spans="1:36" x14ac:dyDescent="0.25">
      <c r="A33">
        <v>32</v>
      </c>
      <c r="B33">
        <v>9</v>
      </c>
      <c r="C33" t="s">
        <v>57</v>
      </c>
      <c r="D33" s="16" t="s">
        <v>116</v>
      </c>
      <c r="E33" s="16" t="s">
        <v>98</v>
      </c>
      <c r="F33">
        <v>3.71</v>
      </c>
      <c r="G33" t="s">
        <v>44</v>
      </c>
      <c r="H33">
        <v>0</v>
      </c>
      <c r="I33">
        <v>8.5500000000000007</v>
      </c>
      <c r="L33">
        <f>Constants!$B$2</f>
        <v>2.8</v>
      </c>
      <c r="M33" t="str">
        <f t="shared" ref="M33" si="29">IF(N33&gt;0,G33,"N/A")</f>
        <v>N/A</v>
      </c>
      <c r="N33">
        <f>P33*Constants!$E$2</f>
        <v>0</v>
      </c>
      <c r="P33">
        <f t="shared" ref="P33" si="30">H33</f>
        <v>0</v>
      </c>
      <c r="Q33">
        <f>P33*Constants!$B$3</f>
        <v>0</v>
      </c>
      <c r="R33">
        <f t="shared" ref="R33" si="31">IF(Q33-N33&lt;=0, 0, Q33-N33)</f>
        <v>0</v>
      </c>
      <c r="S33">
        <f t="shared" ref="S33" si="32">I33-P33</f>
        <v>8.5500000000000007</v>
      </c>
      <c r="T33">
        <f>S33*Constants!$B$2</f>
        <v>23.94</v>
      </c>
      <c r="V33">
        <f t="shared" ref="V33" si="33">IF(B33="E",1,0)</f>
        <v>0</v>
      </c>
      <c r="W33">
        <f t="shared" ref="W33" si="34">IF(B33=10,1,0)</f>
        <v>0</v>
      </c>
      <c r="AA33" s="8"/>
      <c r="AJ33" s="4"/>
    </row>
    <row r="34" spans="1:36" x14ac:dyDescent="0.25">
      <c r="A34">
        <v>33</v>
      </c>
      <c r="B34">
        <v>9</v>
      </c>
      <c r="C34" t="s">
        <v>49</v>
      </c>
      <c r="D34" s="16" t="s">
        <v>99</v>
      </c>
      <c r="F34">
        <v>20.98</v>
      </c>
      <c r="G34">
        <v>270</v>
      </c>
      <c r="H34">
        <v>3.6</v>
      </c>
      <c r="I34">
        <v>21.76</v>
      </c>
      <c r="L34">
        <f>Constants!$B$2</f>
        <v>2.8</v>
      </c>
      <c r="M34">
        <f t="shared" si="0"/>
        <v>270</v>
      </c>
      <c r="N34">
        <f>P34*Constants!$E$2</f>
        <v>6.12</v>
      </c>
      <c r="P34">
        <f t="shared" si="8"/>
        <v>3.6</v>
      </c>
      <c r="Q34">
        <f>P34*Constants!$B$3</f>
        <v>15.119999999999997</v>
      </c>
      <c r="R34">
        <f t="shared" si="2"/>
        <v>8.9999999999999964</v>
      </c>
      <c r="S34">
        <f t="shared" si="3"/>
        <v>18.16</v>
      </c>
      <c r="T34">
        <f>S34*Constants!$B$2</f>
        <v>50.847999999999999</v>
      </c>
      <c r="V34">
        <f t="shared" si="9"/>
        <v>0</v>
      </c>
      <c r="W34">
        <f t="shared" si="10"/>
        <v>0</v>
      </c>
      <c r="AA34" s="8"/>
      <c r="AJ34" s="4"/>
    </row>
    <row r="35" spans="1:36" x14ac:dyDescent="0.25">
      <c r="A35">
        <v>34</v>
      </c>
      <c r="B35">
        <v>9</v>
      </c>
      <c r="C35" t="s">
        <v>57</v>
      </c>
      <c r="D35" s="16" t="s">
        <v>100</v>
      </c>
      <c r="E35" s="16" t="s">
        <v>99</v>
      </c>
      <c r="F35">
        <v>3.71</v>
      </c>
      <c r="G35" t="s">
        <v>44</v>
      </c>
      <c r="H35">
        <v>0</v>
      </c>
      <c r="I35">
        <v>8.5500000000000007</v>
      </c>
      <c r="L35">
        <f>Constants!$B$2</f>
        <v>2.8</v>
      </c>
      <c r="M35" t="str">
        <f t="shared" si="0"/>
        <v>N/A</v>
      </c>
      <c r="N35">
        <f>P35*Constants!$E$2</f>
        <v>0</v>
      </c>
      <c r="P35">
        <f t="shared" si="8"/>
        <v>0</v>
      </c>
      <c r="Q35">
        <f>P35*Constants!$B$3</f>
        <v>0</v>
      </c>
      <c r="R35">
        <f t="shared" si="2"/>
        <v>0</v>
      </c>
      <c r="S35">
        <f t="shared" si="3"/>
        <v>8.5500000000000007</v>
      </c>
      <c r="T35">
        <f>S35*Constants!$B$2</f>
        <v>23.94</v>
      </c>
      <c r="V35">
        <f t="shared" si="9"/>
        <v>0</v>
      </c>
      <c r="W35">
        <f t="shared" si="10"/>
        <v>0</v>
      </c>
      <c r="AA35" s="8"/>
      <c r="AJ35" s="4"/>
    </row>
    <row r="36" spans="1:36" x14ac:dyDescent="0.25">
      <c r="A36">
        <v>35</v>
      </c>
      <c r="B36">
        <v>9</v>
      </c>
      <c r="C36" t="s">
        <v>49</v>
      </c>
      <c r="D36" s="16" t="s">
        <v>101</v>
      </c>
      <c r="F36">
        <v>20.61</v>
      </c>
      <c r="G36">
        <v>270</v>
      </c>
      <c r="H36">
        <v>3.6</v>
      </c>
      <c r="I36">
        <v>21.66</v>
      </c>
      <c r="L36">
        <f>Constants!$B$2</f>
        <v>2.8</v>
      </c>
      <c r="M36">
        <f t="shared" si="0"/>
        <v>270</v>
      </c>
      <c r="N36">
        <f>P36*Constants!$E$2</f>
        <v>6.12</v>
      </c>
      <c r="P36">
        <f t="shared" si="8"/>
        <v>3.6</v>
      </c>
      <c r="Q36">
        <f>P36*Constants!$B$3</f>
        <v>15.119999999999997</v>
      </c>
      <c r="R36">
        <f t="shared" si="2"/>
        <v>8.9999999999999964</v>
      </c>
      <c r="S36">
        <f t="shared" si="3"/>
        <v>18.059999999999999</v>
      </c>
      <c r="T36">
        <f>S36*Constants!$B$2</f>
        <v>50.567999999999991</v>
      </c>
      <c r="V36">
        <f t="shared" si="9"/>
        <v>0</v>
      </c>
      <c r="W36">
        <f t="shared" si="10"/>
        <v>0</v>
      </c>
      <c r="AA36" s="8"/>
      <c r="AJ36" s="4"/>
    </row>
    <row r="37" spans="1:36" x14ac:dyDescent="0.25">
      <c r="A37">
        <v>36</v>
      </c>
      <c r="B37">
        <v>9</v>
      </c>
      <c r="C37" t="s">
        <v>57</v>
      </c>
      <c r="D37" s="16" t="s">
        <v>102</v>
      </c>
      <c r="E37" s="16" t="s">
        <v>101</v>
      </c>
      <c r="F37">
        <v>3.71</v>
      </c>
      <c r="G37" t="s">
        <v>44</v>
      </c>
      <c r="H37">
        <v>0</v>
      </c>
      <c r="I37">
        <v>8.5500000000000007</v>
      </c>
      <c r="L37">
        <f>Constants!$B$2</f>
        <v>2.8</v>
      </c>
      <c r="M37" t="str">
        <f t="shared" si="0"/>
        <v>N/A</v>
      </c>
      <c r="N37">
        <f>P37*Constants!$E$2</f>
        <v>0</v>
      </c>
      <c r="P37">
        <f t="shared" si="8"/>
        <v>0</v>
      </c>
      <c r="Q37">
        <f>P37*Constants!$B$3</f>
        <v>0</v>
      </c>
      <c r="R37">
        <f t="shared" si="2"/>
        <v>0</v>
      </c>
      <c r="S37">
        <f t="shared" si="3"/>
        <v>8.5500000000000007</v>
      </c>
      <c r="T37">
        <f>S37*Constants!$B$2</f>
        <v>23.94</v>
      </c>
      <c r="V37">
        <f t="shared" si="9"/>
        <v>0</v>
      </c>
      <c r="W37">
        <f t="shared" si="10"/>
        <v>0</v>
      </c>
      <c r="AA37" s="8"/>
      <c r="AJ37" s="4"/>
    </row>
    <row r="38" spans="1:36" x14ac:dyDescent="0.25">
      <c r="A38">
        <v>37</v>
      </c>
      <c r="B38">
        <v>9</v>
      </c>
      <c r="C38" t="s">
        <v>45</v>
      </c>
      <c r="D38" s="16" t="s">
        <v>103</v>
      </c>
      <c r="F38">
        <v>15.41</v>
      </c>
      <c r="G38" t="s">
        <v>44</v>
      </c>
      <c r="H38">
        <v>0</v>
      </c>
      <c r="I38">
        <v>15.9</v>
      </c>
      <c r="L38">
        <f>Constants!$B$2</f>
        <v>2.8</v>
      </c>
      <c r="M38" t="str">
        <f t="shared" si="0"/>
        <v>N/A</v>
      </c>
      <c r="N38">
        <f>P38*Constants!$E$2</f>
        <v>0</v>
      </c>
      <c r="P38">
        <f t="shared" si="8"/>
        <v>0</v>
      </c>
      <c r="Q38">
        <f>P38*Constants!$B$3</f>
        <v>0</v>
      </c>
      <c r="R38">
        <f t="shared" si="2"/>
        <v>0</v>
      </c>
      <c r="S38">
        <f t="shared" si="3"/>
        <v>15.9</v>
      </c>
      <c r="T38">
        <f>S38*Constants!$B$2</f>
        <v>44.519999999999996</v>
      </c>
      <c r="V38">
        <f t="shared" si="9"/>
        <v>0</v>
      </c>
      <c r="W38">
        <f t="shared" si="10"/>
        <v>0</v>
      </c>
      <c r="AA38" s="8"/>
      <c r="AJ38" s="4"/>
    </row>
    <row r="39" spans="1:36" x14ac:dyDescent="0.25">
      <c r="A39">
        <v>38</v>
      </c>
      <c r="B39">
        <v>9</v>
      </c>
      <c r="C39" t="s">
        <v>62</v>
      </c>
      <c r="D39" s="16" t="s">
        <v>104</v>
      </c>
      <c r="F39">
        <v>20.76</v>
      </c>
      <c r="G39">
        <v>90</v>
      </c>
      <c r="H39">
        <v>3.2</v>
      </c>
      <c r="I39">
        <f>2*(5.3+3.2)</f>
        <v>17</v>
      </c>
      <c r="L39">
        <f>Constants!$B$2</f>
        <v>2.8</v>
      </c>
      <c r="M39">
        <f t="shared" si="0"/>
        <v>90</v>
      </c>
      <c r="N39">
        <f>P39*Constants!$E$2</f>
        <v>5.44</v>
      </c>
      <c r="P39">
        <f t="shared" si="8"/>
        <v>3.2</v>
      </c>
      <c r="Q39">
        <f>P39*Constants!$B$3</f>
        <v>13.439999999999998</v>
      </c>
      <c r="R39">
        <f t="shared" si="2"/>
        <v>7.9999999999999973</v>
      </c>
      <c r="S39">
        <f t="shared" si="3"/>
        <v>13.8</v>
      </c>
      <c r="T39">
        <f>S39*Constants!$B$2</f>
        <v>38.64</v>
      </c>
      <c r="V39">
        <f t="shared" si="9"/>
        <v>0</v>
      </c>
      <c r="W39">
        <f t="shared" si="10"/>
        <v>0</v>
      </c>
      <c r="AA39" s="8"/>
      <c r="AJ39" s="4"/>
    </row>
    <row r="40" spans="1:36" x14ac:dyDescent="0.25">
      <c r="A40">
        <v>39</v>
      </c>
      <c r="B40">
        <v>9</v>
      </c>
      <c r="C40" t="s">
        <v>64</v>
      </c>
      <c r="D40" s="16" t="s">
        <v>105</v>
      </c>
      <c r="F40">
        <v>3.72</v>
      </c>
      <c r="G40">
        <v>90</v>
      </c>
      <c r="H40">
        <v>1.2</v>
      </c>
      <c r="I40">
        <f>2*(1.2+2.9)</f>
        <v>8.1999999999999993</v>
      </c>
      <c r="L40">
        <f>Constants!$B$2</f>
        <v>2.8</v>
      </c>
      <c r="M40">
        <f t="shared" si="0"/>
        <v>90</v>
      </c>
      <c r="N40">
        <f>P40*Constants!$E$2</f>
        <v>2.04</v>
      </c>
      <c r="P40">
        <f t="shared" si="8"/>
        <v>1.2</v>
      </c>
      <c r="Q40">
        <f>P40*Constants!$B$3</f>
        <v>5.0399999999999991</v>
      </c>
      <c r="R40">
        <f t="shared" si="2"/>
        <v>2.9999999999999991</v>
      </c>
      <c r="S40">
        <f t="shared" si="3"/>
        <v>6.9999999999999991</v>
      </c>
      <c r="T40">
        <f>S40*Constants!$B$2</f>
        <v>19.599999999999998</v>
      </c>
      <c r="V40">
        <f t="shared" si="9"/>
        <v>0</v>
      </c>
      <c r="W40">
        <f t="shared" si="10"/>
        <v>0</v>
      </c>
      <c r="AA40" s="8"/>
      <c r="AJ40" s="4"/>
    </row>
    <row r="41" spans="1:36" x14ac:dyDescent="0.25">
      <c r="A41">
        <v>40</v>
      </c>
      <c r="B41">
        <v>9</v>
      </c>
      <c r="C41" t="s">
        <v>64</v>
      </c>
      <c r="D41" s="16" t="s">
        <v>106</v>
      </c>
      <c r="F41">
        <v>3.72</v>
      </c>
      <c r="G41">
        <v>90</v>
      </c>
      <c r="H41">
        <v>1.2</v>
      </c>
      <c r="I41">
        <f>2*(1.2+2.9)</f>
        <v>8.1999999999999993</v>
      </c>
      <c r="L41">
        <f>Constants!$B$2</f>
        <v>2.8</v>
      </c>
      <c r="M41">
        <f t="shared" si="0"/>
        <v>90</v>
      </c>
      <c r="N41">
        <f>P41*Constants!$E$2</f>
        <v>2.04</v>
      </c>
      <c r="P41">
        <f t="shared" si="8"/>
        <v>1.2</v>
      </c>
      <c r="Q41">
        <f>P41*Constants!$B$3</f>
        <v>5.0399999999999991</v>
      </c>
      <c r="R41">
        <f t="shared" si="2"/>
        <v>2.9999999999999991</v>
      </c>
      <c r="S41">
        <f t="shared" si="3"/>
        <v>6.9999999999999991</v>
      </c>
      <c r="T41">
        <f>S41*Constants!$B$2</f>
        <v>19.599999999999998</v>
      </c>
      <c r="V41">
        <f t="shared" si="9"/>
        <v>0</v>
      </c>
      <c r="W41">
        <f t="shared" si="10"/>
        <v>0</v>
      </c>
      <c r="AA41" s="8"/>
      <c r="AJ41" s="4"/>
    </row>
    <row r="42" spans="1:36" x14ac:dyDescent="0.25">
      <c r="A42">
        <v>41</v>
      </c>
      <c r="B42">
        <v>9</v>
      </c>
      <c r="C42" t="s">
        <v>62</v>
      </c>
      <c r="D42" s="16" t="s">
        <v>107</v>
      </c>
      <c r="F42">
        <v>19.96</v>
      </c>
      <c r="G42" t="s">
        <v>44</v>
      </c>
      <c r="H42">
        <v>0</v>
      </c>
      <c r="I42">
        <v>98.79</v>
      </c>
      <c r="L42">
        <f>Constants!$B$2</f>
        <v>2.8</v>
      </c>
      <c r="M42" t="str">
        <f t="shared" ref="M42" si="35">IF(N42&gt;0,G42,"N/A")</f>
        <v>N/A</v>
      </c>
      <c r="N42">
        <f>P42*Constants!$E$2</f>
        <v>0</v>
      </c>
      <c r="P42">
        <f t="shared" ref="P42" si="36">H42</f>
        <v>0</v>
      </c>
      <c r="Q42">
        <f>P42*Constants!$B$3</f>
        <v>0</v>
      </c>
      <c r="R42">
        <f t="shared" si="2"/>
        <v>0</v>
      </c>
      <c r="S42">
        <f t="shared" ref="S42" si="37">I42-P42</f>
        <v>98.79</v>
      </c>
      <c r="T42">
        <f>S42*Constants!$B$2</f>
        <v>276.61200000000002</v>
      </c>
      <c r="V42">
        <f t="shared" ref="V42" si="38">IF(B42="E",1,0)</f>
        <v>0</v>
      </c>
      <c r="W42">
        <f t="shared" ref="W42" si="39">IF(B42=10,1,0)</f>
        <v>0</v>
      </c>
      <c r="AA42" s="8"/>
      <c r="AJ42" s="4"/>
    </row>
    <row r="43" spans="1:36" x14ac:dyDescent="0.25">
      <c r="D43" s="15"/>
    </row>
    <row r="44" spans="1:36" x14ac:dyDescent="0.25">
      <c r="D44" s="15"/>
    </row>
    <row r="45" spans="1:36" x14ac:dyDescent="0.25">
      <c r="D45" s="15"/>
    </row>
    <row r="46" spans="1:36" x14ac:dyDescent="0.25">
      <c r="D46" s="15"/>
    </row>
    <row r="47" spans="1:36" x14ac:dyDescent="0.25">
      <c r="D47" s="15"/>
    </row>
    <row r="48" spans="1:36" x14ac:dyDescent="0.25">
      <c r="D48" s="15"/>
    </row>
    <row r="49" spans="4:4" x14ac:dyDescent="0.25">
      <c r="D49" s="15"/>
    </row>
    <row r="50" spans="4:4" x14ac:dyDescent="0.25">
      <c r="D50" s="15"/>
    </row>
    <row r="51" spans="4:4" x14ac:dyDescent="0.25">
      <c r="D51" s="15"/>
    </row>
    <row r="52" spans="4:4" x14ac:dyDescent="0.25">
      <c r="D52" s="15"/>
    </row>
    <row r="53" spans="4:4" x14ac:dyDescent="0.25">
      <c r="D53" s="15"/>
    </row>
    <row r="54" spans="4:4" x14ac:dyDescent="0.25">
      <c r="D54" s="15"/>
    </row>
    <row r="55" spans="4:4" x14ac:dyDescent="0.25">
      <c r="D55" s="15"/>
    </row>
    <row r="56" spans="4:4" x14ac:dyDescent="0.25">
      <c r="D56" s="15"/>
    </row>
    <row r="57" spans="4:4" x14ac:dyDescent="0.25">
      <c r="D57" s="15"/>
    </row>
    <row r="58" spans="4:4" x14ac:dyDescent="0.25">
      <c r="D58" s="15"/>
    </row>
    <row r="59" spans="4:4" x14ac:dyDescent="0.25">
      <c r="D59" s="15"/>
    </row>
    <row r="60" spans="4:4" x14ac:dyDescent="0.25">
      <c r="D60" s="15"/>
    </row>
    <row r="61" spans="4:4" x14ac:dyDescent="0.25">
      <c r="D61" s="15"/>
    </row>
    <row r="62" spans="4:4" x14ac:dyDescent="0.25">
      <c r="D62" s="15"/>
    </row>
    <row r="63" spans="4:4" x14ac:dyDescent="0.25">
      <c r="D63" s="15"/>
    </row>
    <row r="64" spans="4:4" x14ac:dyDescent="0.25">
      <c r="D64" s="15"/>
    </row>
    <row r="65" spans="4:4" x14ac:dyDescent="0.25">
      <c r="D65" s="15"/>
    </row>
    <row r="66" spans="4:4" x14ac:dyDescent="0.25">
      <c r="D66" s="15"/>
    </row>
    <row r="67" spans="4:4" x14ac:dyDescent="0.25">
      <c r="D67" s="15"/>
    </row>
    <row r="68" spans="4:4" x14ac:dyDescent="0.25">
      <c r="D68" s="15"/>
    </row>
    <row r="69" spans="4:4" x14ac:dyDescent="0.25">
      <c r="D69" s="15"/>
    </row>
    <row r="70" spans="4:4" x14ac:dyDescent="0.25">
      <c r="D70" s="15"/>
    </row>
    <row r="71" spans="4:4" x14ac:dyDescent="0.25">
      <c r="D71" s="15"/>
    </row>
    <row r="72" spans="4:4" x14ac:dyDescent="0.25">
      <c r="D72" s="15"/>
    </row>
    <row r="73" spans="4:4" x14ac:dyDescent="0.25">
      <c r="D73" s="15"/>
    </row>
    <row r="74" spans="4:4" x14ac:dyDescent="0.25">
      <c r="D74" s="15"/>
    </row>
    <row r="75" spans="4:4" x14ac:dyDescent="0.25">
      <c r="D75" s="15"/>
    </row>
    <row r="76" spans="4:4" x14ac:dyDescent="0.25">
      <c r="D76" s="15"/>
    </row>
    <row r="77" spans="4:4" x14ac:dyDescent="0.25">
      <c r="D77" s="15"/>
    </row>
    <row r="78" spans="4:4" x14ac:dyDescent="0.25">
      <c r="D78" s="15"/>
    </row>
    <row r="79" spans="4:4" x14ac:dyDescent="0.25">
      <c r="D79" s="15"/>
    </row>
    <row r="80" spans="4:4" x14ac:dyDescent="0.25">
      <c r="D80" s="15"/>
    </row>
    <row r="81" spans="4:4" x14ac:dyDescent="0.25">
      <c r="D81" s="15"/>
    </row>
    <row r="82" spans="4:4" x14ac:dyDescent="0.25">
      <c r="D82" s="15"/>
    </row>
    <row r="83" spans="4:4" x14ac:dyDescent="0.25">
      <c r="D83" s="15"/>
    </row>
    <row r="84" spans="4:4" x14ac:dyDescent="0.25">
      <c r="D84" s="15"/>
    </row>
    <row r="85" spans="4:4" x14ac:dyDescent="0.25">
      <c r="D85" s="15"/>
    </row>
    <row r="86" spans="4:4" x14ac:dyDescent="0.25">
      <c r="D86" s="15"/>
    </row>
    <row r="87" spans="4:4" x14ac:dyDescent="0.25">
      <c r="D87" s="15"/>
    </row>
    <row r="88" spans="4:4" x14ac:dyDescent="0.25">
      <c r="D88" s="15"/>
    </row>
    <row r="89" spans="4:4" x14ac:dyDescent="0.25">
      <c r="D89" s="15"/>
    </row>
    <row r="90" spans="4:4" x14ac:dyDescent="0.25">
      <c r="D90" s="15"/>
    </row>
    <row r="91" spans="4:4" x14ac:dyDescent="0.25">
      <c r="D91" s="15"/>
    </row>
    <row r="92" spans="4:4" x14ac:dyDescent="0.25">
      <c r="D92" s="15"/>
    </row>
    <row r="93" spans="4:4" x14ac:dyDescent="0.25">
      <c r="D93" s="15"/>
    </row>
    <row r="94" spans="4:4" x14ac:dyDescent="0.25">
      <c r="D94" s="15"/>
    </row>
    <row r="95" spans="4:4" x14ac:dyDescent="0.25">
      <c r="D95" s="15"/>
    </row>
    <row r="96" spans="4:4" x14ac:dyDescent="0.25">
      <c r="D96" s="15"/>
    </row>
    <row r="97" spans="4:4" x14ac:dyDescent="0.25">
      <c r="D97" s="15"/>
    </row>
    <row r="98" spans="4:4" x14ac:dyDescent="0.25">
      <c r="D98" s="15"/>
    </row>
    <row r="99" spans="4:4" x14ac:dyDescent="0.25">
      <c r="D99" s="15"/>
    </row>
    <row r="100" spans="4:4" x14ac:dyDescent="0.25">
      <c r="D100" s="15"/>
    </row>
    <row r="101" spans="4:4" x14ac:dyDescent="0.25">
      <c r="D101" s="15"/>
    </row>
    <row r="102" spans="4:4" x14ac:dyDescent="0.25">
      <c r="D102" s="15"/>
    </row>
    <row r="103" spans="4:4" x14ac:dyDescent="0.25">
      <c r="D103" s="15"/>
    </row>
    <row r="104" spans="4:4" x14ac:dyDescent="0.25">
      <c r="D104" s="15"/>
    </row>
    <row r="105" spans="4:4" x14ac:dyDescent="0.25">
      <c r="D105" s="15"/>
    </row>
    <row r="106" spans="4:4" x14ac:dyDescent="0.25">
      <c r="D106" s="15"/>
    </row>
    <row r="107" spans="4:4" x14ac:dyDescent="0.25">
      <c r="D107" s="15"/>
    </row>
    <row r="108" spans="4:4" x14ac:dyDescent="0.25">
      <c r="D108" s="15"/>
    </row>
    <row r="109" spans="4:4" x14ac:dyDescent="0.25">
      <c r="D109" s="15"/>
    </row>
    <row r="110" spans="4:4" x14ac:dyDescent="0.25">
      <c r="D110" s="15"/>
    </row>
    <row r="111" spans="4:4" x14ac:dyDescent="0.25">
      <c r="D111" s="15"/>
    </row>
    <row r="112" spans="4:4" x14ac:dyDescent="0.25">
      <c r="D112" s="15"/>
    </row>
    <row r="113" spans="4:4" x14ac:dyDescent="0.25">
      <c r="D113" s="15"/>
    </row>
    <row r="114" spans="4:4" x14ac:dyDescent="0.25">
      <c r="D114" s="15"/>
    </row>
    <row r="115" spans="4:4" x14ac:dyDescent="0.25">
      <c r="D115" s="15"/>
    </row>
    <row r="116" spans="4:4" x14ac:dyDescent="0.25">
      <c r="D116" s="15"/>
    </row>
    <row r="117" spans="4:4" x14ac:dyDescent="0.25">
      <c r="D117" s="15"/>
    </row>
    <row r="118" spans="4:4" x14ac:dyDescent="0.25">
      <c r="D118" s="15"/>
    </row>
    <row r="119" spans="4:4" x14ac:dyDescent="0.25">
      <c r="D119" s="15"/>
    </row>
    <row r="120" spans="4:4" x14ac:dyDescent="0.25">
      <c r="D120" s="15"/>
    </row>
    <row r="121" spans="4:4" x14ac:dyDescent="0.25">
      <c r="D121" s="15"/>
    </row>
    <row r="122" spans="4:4" x14ac:dyDescent="0.25">
      <c r="D122" s="15"/>
    </row>
    <row r="123" spans="4:4" x14ac:dyDescent="0.25">
      <c r="D123" s="15"/>
    </row>
    <row r="124" spans="4:4" x14ac:dyDescent="0.25">
      <c r="D124" s="15"/>
    </row>
    <row r="125" spans="4:4" x14ac:dyDescent="0.25">
      <c r="D125" s="15"/>
    </row>
    <row r="126" spans="4:4" x14ac:dyDescent="0.25">
      <c r="D126" s="15"/>
    </row>
    <row r="127" spans="4:4" x14ac:dyDescent="0.25">
      <c r="D127" s="15"/>
    </row>
    <row r="128" spans="4:4" x14ac:dyDescent="0.25">
      <c r="D128" s="15"/>
    </row>
    <row r="129" spans="4:4" x14ac:dyDescent="0.25">
      <c r="D129" s="15"/>
    </row>
    <row r="130" spans="4:4" x14ac:dyDescent="0.25">
      <c r="D130" s="15"/>
    </row>
    <row r="131" spans="4:4" x14ac:dyDescent="0.25">
      <c r="D131" s="15"/>
    </row>
    <row r="132" spans="4:4" x14ac:dyDescent="0.25">
      <c r="D132" s="15"/>
    </row>
    <row r="133" spans="4:4" x14ac:dyDescent="0.25">
      <c r="D133" s="15"/>
    </row>
    <row r="134" spans="4:4" x14ac:dyDescent="0.25">
      <c r="D134" s="15"/>
    </row>
    <row r="135" spans="4:4" x14ac:dyDescent="0.25">
      <c r="D135" s="15"/>
    </row>
    <row r="136" spans="4:4" x14ac:dyDescent="0.25">
      <c r="D136" s="15"/>
    </row>
    <row r="137" spans="4:4" x14ac:dyDescent="0.25">
      <c r="D137" s="15"/>
    </row>
    <row r="138" spans="4:4" x14ac:dyDescent="0.25">
      <c r="D138" s="15"/>
    </row>
    <row r="139" spans="4:4" x14ac:dyDescent="0.25">
      <c r="D139" s="15"/>
    </row>
    <row r="140" spans="4:4" x14ac:dyDescent="0.25">
      <c r="D140" s="15"/>
    </row>
    <row r="141" spans="4:4" x14ac:dyDescent="0.25">
      <c r="D141" s="15"/>
    </row>
    <row r="142" spans="4:4" x14ac:dyDescent="0.25">
      <c r="D142" s="15"/>
    </row>
    <row r="143" spans="4:4" x14ac:dyDescent="0.25">
      <c r="D143" s="15"/>
    </row>
    <row r="144" spans="4:4" x14ac:dyDescent="0.25">
      <c r="D144" s="15"/>
    </row>
    <row r="145" spans="4:4" x14ac:dyDescent="0.25">
      <c r="D145" s="15"/>
    </row>
    <row r="146" spans="4:4" x14ac:dyDescent="0.25">
      <c r="D146" s="15"/>
    </row>
    <row r="147" spans="4:4" x14ac:dyDescent="0.25">
      <c r="D147" s="15"/>
    </row>
    <row r="148" spans="4:4" x14ac:dyDescent="0.25">
      <c r="D148" s="15"/>
    </row>
    <row r="149" spans="4:4" x14ac:dyDescent="0.25">
      <c r="D149" s="15"/>
    </row>
    <row r="150" spans="4:4" x14ac:dyDescent="0.25">
      <c r="D150" s="15"/>
    </row>
    <row r="151" spans="4:4" x14ac:dyDescent="0.25">
      <c r="D151" s="15"/>
    </row>
    <row r="152" spans="4:4" x14ac:dyDescent="0.25">
      <c r="D152" s="15"/>
    </row>
    <row r="153" spans="4:4" x14ac:dyDescent="0.25">
      <c r="D153" s="15"/>
    </row>
    <row r="154" spans="4:4" x14ac:dyDescent="0.25">
      <c r="D154" s="15"/>
    </row>
    <row r="155" spans="4:4" x14ac:dyDescent="0.25">
      <c r="D155" s="15"/>
    </row>
    <row r="156" spans="4:4" x14ac:dyDescent="0.25">
      <c r="D156" s="15"/>
    </row>
    <row r="157" spans="4:4" x14ac:dyDescent="0.25">
      <c r="D157" s="15"/>
    </row>
    <row r="158" spans="4:4" x14ac:dyDescent="0.25">
      <c r="D158" s="15"/>
    </row>
    <row r="159" spans="4:4" x14ac:dyDescent="0.25">
      <c r="D159" s="15"/>
    </row>
    <row r="160" spans="4:4" x14ac:dyDescent="0.25">
      <c r="D160" s="15"/>
    </row>
    <row r="161" spans="4:4" x14ac:dyDescent="0.25">
      <c r="D161" s="15"/>
    </row>
    <row r="162" spans="4:4" x14ac:dyDescent="0.25">
      <c r="D162" s="15"/>
    </row>
    <row r="163" spans="4:4" x14ac:dyDescent="0.25">
      <c r="D163" s="15"/>
    </row>
    <row r="164" spans="4:4" x14ac:dyDescent="0.25">
      <c r="D164" s="15"/>
    </row>
    <row r="165" spans="4:4" x14ac:dyDescent="0.25">
      <c r="D165" s="15"/>
    </row>
    <row r="166" spans="4:4" x14ac:dyDescent="0.25">
      <c r="D166" s="15"/>
    </row>
    <row r="167" spans="4:4" x14ac:dyDescent="0.25">
      <c r="D167" s="15"/>
    </row>
    <row r="168" spans="4:4" x14ac:dyDescent="0.25">
      <c r="D168" s="15"/>
    </row>
    <row r="169" spans="4:4" x14ac:dyDescent="0.25">
      <c r="D169" s="15"/>
    </row>
    <row r="170" spans="4:4" x14ac:dyDescent="0.25">
      <c r="D170" s="15"/>
    </row>
    <row r="171" spans="4:4" x14ac:dyDescent="0.25">
      <c r="D171" s="15"/>
    </row>
    <row r="172" spans="4:4" x14ac:dyDescent="0.25">
      <c r="D172" s="15"/>
    </row>
    <row r="173" spans="4:4" x14ac:dyDescent="0.25">
      <c r="D173" s="15"/>
    </row>
    <row r="174" spans="4:4" x14ac:dyDescent="0.25">
      <c r="D174" s="15"/>
    </row>
    <row r="175" spans="4:4" x14ac:dyDescent="0.25">
      <c r="D175" s="15"/>
    </row>
    <row r="176" spans="4:4" x14ac:dyDescent="0.25">
      <c r="D176" s="15"/>
    </row>
    <row r="177" spans="4:4" x14ac:dyDescent="0.25">
      <c r="D177" s="15"/>
    </row>
    <row r="178" spans="4:4" x14ac:dyDescent="0.25">
      <c r="D178" s="15"/>
    </row>
    <row r="179" spans="4:4" x14ac:dyDescent="0.25">
      <c r="D179" s="15"/>
    </row>
    <row r="180" spans="4:4" x14ac:dyDescent="0.25">
      <c r="D180" s="15"/>
    </row>
    <row r="181" spans="4:4" x14ac:dyDescent="0.25">
      <c r="D181" s="15"/>
    </row>
    <row r="182" spans="4:4" x14ac:dyDescent="0.25">
      <c r="D182" s="15"/>
    </row>
    <row r="183" spans="4:4" x14ac:dyDescent="0.25">
      <c r="D183" s="15"/>
    </row>
    <row r="184" spans="4:4" x14ac:dyDescent="0.25">
      <c r="D184" s="15"/>
    </row>
    <row r="185" spans="4:4" x14ac:dyDescent="0.25">
      <c r="D185" s="15"/>
    </row>
    <row r="186" spans="4:4" x14ac:dyDescent="0.25">
      <c r="D186" s="15"/>
    </row>
    <row r="187" spans="4:4" x14ac:dyDescent="0.25">
      <c r="D187" s="15"/>
    </row>
    <row r="188" spans="4:4" x14ac:dyDescent="0.25">
      <c r="D188" s="15"/>
    </row>
    <row r="189" spans="4:4" x14ac:dyDescent="0.25">
      <c r="D189" s="15"/>
    </row>
    <row r="190" spans="4:4" x14ac:dyDescent="0.25">
      <c r="D190" s="15"/>
    </row>
    <row r="191" spans="4:4" x14ac:dyDescent="0.25">
      <c r="D191" s="15"/>
    </row>
    <row r="192" spans="4:4" x14ac:dyDescent="0.25">
      <c r="D192" s="15"/>
    </row>
    <row r="193" spans="4:4" x14ac:dyDescent="0.25">
      <c r="D193" s="15"/>
    </row>
    <row r="194" spans="4:4" x14ac:dyDescent="0.25">
      <c r="D194" s="15"/>
    </row>
    <row r="195" spans="4:4" x14ac:dyDescent="0.25">
      <c r="D195" s="15"/>
    </row>
    <row r="196" spans="4:4" x14ac:dyDescent="0.25">
      <c r="D196" s="15"/>
    </row>
    <row r="197" spans="4:4" x14ac:dyDescent="0.25">
      <c r="D197" s="15"/>
    </row>
    <row r="198" spans="4:4" x14ac:dyDescent="0.25">
      <c r="D198" s="15"/>
    </row>
    <row r="199" spans="4:4" x14ac:dyDescent="0.25">
      <c r="D199" s="15"/>
    </row>
    <row r="200" spans="4:4" x14ac:dyDescent="0.25">
      <c r="D200" s="15"/>
    </row>
    <row r="201" spans="4:4" x14ac:dyDescent="0.25">
      <c r="D201" s="15"/>
    </row>
    <row r="202" spans="4:4" x14ac:dyDescent="0.25">
      <c r="D202" s="15"/>
    </row>
    <row r="203" spans="4:4" x14ac:dyDescent="0.25">
      <c r="D203" s="15"/>
    </row>
    <row r="204" spans="4:4" x14ac:dyDescent="0.25">
      <c r="D204" s="15"/>
    </row>
    <row r="205" spans="4:4" x14ac:dyDescent="0.25">
      <c r="D205" s="15"/>
    </row>
    <row r="206" spans="4:4" x14ac:dyDescent="0.25">
      <c r="D206" s="15"/>
    </row>
    <row r="207" spans="4:4" x14ac:dyDescent="0.25">
      <c r="D207" s="15"/>
    </row>
    <row r="208" spans="4:4" x14ac:dyDescent="0.25">
      <c r="D208" s="15"/>
    </row>
    <row r="209" spans="4:4" x14ac:dyDescent="0.25">
      <c r="D209" s="15"/>
    </row>
    <row r="210" spans="4:4" x14ac:dyDescent="0.25">
      <c r="D210" s="15"/>
    </row>
    <row r="211" spans="4:4" x14ac:dyDescent="0.25">
      <c r="D211" s="15"/>
    </row>
    <row r="212" spans="4:4" x14ac:dyDescent="0.25">
      <c r="D212" s="15"/>
    </row>
    <row r="213" spans="4:4" x14ac:dyDescent="0.25">
      <c r="D213" s="15"/>
    </row>
    <row r="214" spans="4:4" x14ac:dyDescent="0.25">
      <c r="D214" s="15"/>
    </row>
    <row r="215" spans="4:4" x14ac:dyDescent="0.25">
      <c r="D215" s="15"/>
    </row>
    <row r="216" spans="4:4" x14ac:dyDescent="0.25">
      <c r="D216" s="15"/>
    </row>
    <row r="217" spans="4:4" x14ac:dyDescent="0.25">
      <c r="D217" s="15"/>
    </row>
    <row r="218" spans="4:4" x14ac:dyDescent="0.25">
      <c r="D218" s="15"/>
    </row>
    <row r="219" spans="4:4" x14ac:dyDescent="0.25">
      <c r="D219" s="15"/>
    </row>
    <row r="220" spans="4:4" x14ac:dyDescent="0.25">
      <c r="D220" s="15"/>
    </row>
    <row r="221" spans="4:4" x14ac:dyDescent="0.25">
      <c r="D221" s="15"/>
    </row>
    <row r="222" spans="4:4" x14ac:dyDescent="0.25">
      <c r="D222" s="15"/>
    </row>
    <row r="223" spans="4:4" x14ac:dyDescent="0.25">
      <c r="D223" s="15"/>
    </row>
    <row r="224" spans="4:4" x14ac:dyDescent="0.25">
      <c r="D224" s="15"/>
    </row>
    <row r="225" spans="4:4" x14ac:dyDescent="0.25">
      <c r="D225" s="15"/>
    </row>
    <row r="226" spans="4:4" x14ac:dyDescent="0.25">
      <c r="D226" s="15"/>
    </row>
    <row r="227" spans="4:4" x14ac:dyDescent="0.25">
      <c r="D227" s="15"/>
    </row>
    <row r="228" spans="4:4" x14ac:dyDescent="0.25">
      <c r="D228" s="15"/>
    </row>
    <row r="229" spans="4:4" x14ac:dyDescent="0.25">
      <c r="D229" s="15"/>
    </row>
    <row r="230" spans="4:4" x14ac:dyDescent="0.25">
      <c r="D230" s="15"/>
    </row>
    <row r="231" spans="4:4" x14ac:dyDescent="0.25">
      <c r="D231" s="15"/>
    </row>
    <row r="232" spans="4:4" x14ac:dyDescent="0.25">
      <c r="D232" s="15"/>
    </row>
    <row r="233" spans="4:4" x14ac:dyDescent="0.25">
      <c r="D233" s="15"/>
    </row>
    <row r="234" spans="4:4" x14ac:dyDescent="0.25">
      <c r="D234" s="15"/>
    </row>
    <row r="235" spans="4:4" x14ac:dyDescent="0.25">
      <c r="D235" s="15"/>
    </row>
    <row r="236" spans="4:4" x14ac:dyDescent="0.25">
      <c r="D236" s="15"/>
    </row>
    <row r="237" spans="4:4" x14ac:dyDescent="0.25">
      <c r="D237" s="15"/>
    </row>
    <row r="238" spans="4:4" x14ac:dyDescent="0.25">
      <c r="D238" s="15"/>
    </row>
    <row r="239" spans="4:4" x14ac:dyDescent="0.25">
      <c r="D239" s="15"/>
    </row>
    <row r="240" spans="4:4" x14ac:dyDescent="0.25">
      <c r="D240" s="15"/>
    </row>
    <row r="241" spans="4:4" x14ac:dyDescent="0.25">
      <c r="D241" s="15"/>
    </row>
    <row r="242" spans="4:4" x14ac:dyDescent="0.25">
      <c r="D242" s="15"/>
    </row>
    <row r="243" spans="4:4" x14ac:dyDescent="0.25">
      <c r="D243" s="15"/>
    </row>
    <row r="244" spans="4:4" x14ac:dyDescent="0.25">
      <c r="D244" s="15"/>
    </row>
    <row r="245" spans="4:4" x14ac:dyDescent="0.25">
      <c r="D245" s="15"/>
    </row>
    <row r="246" spans="4:4" x14ac:dyDescent="0.25">
      <c r="D246" s="15"/>
    </row>
    <row r="247" spans="4:4" x14ac:dyDescent="0.25">
      <c r="D247" s="15"/>
    </row>
    <row r="248" spans="4:4" x14ac:dyDescent="0.25">
      <c r="D248" s="15"/>
    </row>
    <row r="249" spans="4:4" x14ac:dyDescent="0.25">
      <c r="D249" s="15"/>
    </row>
    <row r="250" spans="4:4" x14ac:dyDescent="0.25">
      <c r="D250" s="15"/>
    </row>
    <row r="251" spans="4:4" x14ac:dyDescent="0.25">
      <c r="D251" s="15"/>
    </row>
    <row r="252" spans="4:4" x14ac:dyDescent="0.25">
      <c r="D252" s="15"/>
    </row>
    <row r="253" spans="4:4" x14ac:dyDescent="0.25">
      <c r="D253" s="15"/>
    </row>
    <row r="254" spans="4:4" x14ac:dyDescent="0.25">
      <c r="D254" s="15"/>
    </row>
    <row r="255" spans="4:4" x14ac:dyDescent="0.25">
      <c r="D255" s="15"/>
    </row>
    <row r="256" spans="4:4" x14ac:dyDescent="0.25">
      <c r="D256" s="15"/>
    </row>
    <row r="257" spans="4:4" x14ac:dyDescent="0.25">
      <c r="D257" s="15"/>
    </row>
    <row r="258" spans="4:4" x14ac:dyDescent="0.25">
      <c r="D258" s="15"/>
    </row>
    <row r="259" spans="4:4" x14ac:dyDescent="0.25">
      <c r="D259" s="15"/>
    </row>
    <row r="260" spans="4:4" x14ac:dyDescent="0.25">
      <c r="D260" s="15"/>
    </row>
    <row r="261" spans="4:4" x14ac:dyDescent="0.25">
      <c r="D261" s="15"/>
    </row>
    <row r="262" spans="4:4" x14ac:dyDescent="0.25">
      <c r="D262" s="15"/>
    </row>
    <row r="263" spans="4:4" x14ac:dyDescent="0.25">
      <c r="D263" s="15"/>
    </row>
    <row r="264" spans="4:4" x14ac:dyDescent="0.25">
      <c r="D264" s="15"/>
    </row>
    <row r="265" spans="4:4" x14ac:dyDescent="0.25">
      <c r="D265" s="15"/>
    </row>
    <row r="266" spans="4:4" x14ac:dyDescent="0.25">
      <c r="D266" s="15"/>
    </row>
    <row r="267" spans="4:4" x14ac:dyDescent="0.25">
      <c r="D267" s="15"/>
    </row>
    <row r="268" spans="4:4" x14ac:dyDescent="0.25">
      <c r="D268" s="15"/>
    </row>
    <row r="269" spans="4:4" x14ac:dyDescent="0.25">
      <c r="D269" s="15"/>
    </row>
    <row r="270" spans="4:4" x14ac:dyDescent="0.25">
      <c r="D270" s="15"/>
    </row>
    <row r="271" spans="4:4" x14ac:dyDescent="0.25">
      <c r="D271" s="15"/>
    </row>
    <row r="272" spans="4:4" x14ac:dyDescent="0.25">
      <c r="D272" s="15"/>
    </row>
    <row r="273" spans="4:4" x14ac:dyDescent="0.25">
      <c r="D273" s="15"/>
    </row>
    <row r="274" spans="4:4" x14ac:dyDescent="0.25">
      <c r="D274" s="15"/>
    </row>
    <row r="275" spans="4:4" x14ac:dyDescent="0.25">
      <c r="D275" s="15"/>
    </row>
    <row r="276" spans="4:4" x14ac:dyDescent="0.25">
      <c r="D276" s="15"/>
    </row>
    <row r="277" spans="4:4" x14ac:dyDescent="0.25">
      <c r="D277" s="15"/>
    </row>
    <row r="278" spans="4:4" x14ac:dyDescent="0.25">
      <c r="D278" s="15"/>
    </row>
    <row r="279" spans="4:4" x14ac:dyDescent="0.25">
      <c r="D279" s="15"/>
    </row>
    <row r="280" spans="4:4" x14ac:dyDescent="0.25">
      <c r="D280" s="15"/>
    </row>
    <row r="281" spans="4:4" x14ac:dyDescent="0.25">
      <c r="D281" s="15"/>
    </row>
    <row r="282" spans="4:4" x14ac:dyDescent="0.25">
      <c r="D282" s="15"/>
    </row>
    <row r="283" spans="4:4" x14ac:dyDescent="0.25">
      <c r="D283" s="15"/>
    </row>
    <row r="284" spans="4:4" x14ac:dyDescent="0.25">
      <c r="D284" s="15"/>
    </row>
    <row r="285" spans="4:4" x14ac:dyDescent="0.25">
      <c r="D285" s="15"/>
    </row>
    <row r="286" spans="4:4" x14ac:dyDescent="0.25">
      <c r="D286" s="15"/>
    </row>
    <row r="287" spans="4:4" x14ac:dyDescent="0.25">
      <c r="D287" s="15"/>
    </row>
    <row r="288" spans="4:4" x14ac:dyDescent="0.25">
      <c r="D288" s="15"/>
    </row>
    <row r="289" spans="4:4" x14ac:dyDescent="0.25">
      <c r="D289" s="15"/>
    </row>
    <row r="290" spans="4:4" x14ac:dyDescent="0.25">
      <c r="D290" s="15"/>
    </row>
    <row r="291" spans="4:4" x14ac:dyDescent="0.25">
      <c r="D291" s="15"/>
    </row>
    <row r="292" spans="4:4" x14ac:dyDescent="0.25">
      <c r="D292" s="15"/>
    </row>
    <row r="293" spans="4:4" x14ac:dyDescent="0.25">
      <c r="D293" s="15"/>
    </row>
    <row r="294" spans="4:4" x14ac:dyDescent="0.25">
      <c r="D294" s="15"/>
    </row>
    <row r="295" spans="4:4" x14ac:dyDescent="0.25">
      <c r="D295" s="15"/>
    </row>
    <row r="296" spans="4:4" x14ac:dyDescent="0.25">
      <c r="D296" s="15"/>
    </row>
    <row r="297" spans="4:4" x14ac:dyDescent="0.25">
      <c r="D297" s="15"/>
    </row>
    <row r="298" spans="4:4" x14ac:dyDescent="0.25">
      <c r="D298" s="15"/>
    </row>
    <row r="299" spans="4:4" x14ac:dyDescent="0.25">
      <c r="D299" s="15"/>
    </row>
    <row r="300" spans="4:4" x14ac:dyDescent="0.25">
      <c r="D300" s="15"/>
    </row>
    <row r="301" spans="4:4" x14ac:dyDescent="0.25">
      <c r="D301" s="15"/>
    </row>
    <row r="302" spans="4:4" x14ac:dyDescent="0.25">
      <c r="D302" s="15"/>
    </row>
    <row r="303" spans="4:4" x14ac:dyDescent="0.25">
      <c r="D303" s="15"/>
    </row>
    <row r="304" spans="4:4" x14ac:dyDescent="0.25">
      <c r="D304" s="15"/>
    </row>
    <row r="305" spans="4:4" x14ac:dyDescent="0.25">
      <c r="D305" s="15"/>
    </row>
    <row r="306" spans="4:4" x14ac:dyDescent="0.25">
      <c r="D306" s="15"/>
    </row>
    <row r="307" spans="4:4" x14ac:dyDescent="0.25">
      <c r="D307" s="15"/>
    </row>
    <row r="308" spans="4:4" x14ac:dyDescent="0.25">
      <c r="D308" s="15"/>
    </row>
    <row r="309" spans="4:4" x14ac:dyDescent="0.25">
      <c r="D309" s="15"/>
    </row>
    <row r="310" spans="4:4" x14ac:dyDescent="0.25">
      <c r="D310" s="15"/>
    </row>
    <row r="311" spans="4:4" x14ac:dyDescent="0.25">
      <c r="D311" s="15"/>
    </row>
    <row r="312" spans="4:4" x14ac:dyDescent="0.25">
      <c r="D312" s="15"/>
    </row>
    <row r="313" spans="4:4" x14ac:dyDescent="0.25">
      <c r="D313" s="15"/>
    </row>
    <row r="314" spans="4:4" x14ac:dyDescent="0.25">
      <c r="D314" s="15"/>
    </row>
    <row r="315" spans="4:4" x14ac:dyDescent="0.25">
      <c r="D315" s="15"/>
    </row>
    <row r="316" spans="4:4" x14ac:dyDescent="0.25">
      <c r="D316" s="15"/>
    </row>
    <row r="317" spans="4:4" x14ac:dyDescent="0.25">
      <c r="D317" s="15"/>
    </row>
    <row r="318" spans="4:4" x14ac:dyDescent="0.25">
      <c r="D318" s="15"/>
    </row>
    <row r="319" spans="4:4" x14ac:dyDescent="0.25">
      <c r="D319" s="15"/>
    </row>
    <row r="320" spans="4:4" x14ac:dyDescent="0.25">
      <c r="D320" s="15"/>
    </row>
    <row r="321" spans="4:4" x14ac:dyDescent="0.25">
      <c r="D321" s="15"/>
    </row>
    <row r="322" spans="4:4" x14ac:dyDescent="0.25">
      <c r="D322" s="15"/>
    </row>
    <row r="323" spans="4:4" x14ac:dyDescent="0.25">
      <c r="D323" s="15"/>
    </row>
    <row r="324" spans="4:4" x14ac:dyDescent="0.25">
      <c r="D324" s="15"/>
    </row>
    <row r="325" spans="4:4" x14ac:dyDescent="0.25">
      <c r="D325" s="15"/>
    </row>
    <row r="326" spans="4:4" x14ac:dyDescent="0.25">
      <c r="D326" s="15"/>
    </row>
    <row r="327" spans="4:4" x14ac:dyDescent="0.25">
      <c r="D327" s="15"/>
    </row>
    <row r="328" spans="4:4" x14ac:dyDescent="0.25">
      <c r="D328" s="15"/>
    </row>
    <row r="329" spans="4:4" x14ac:dyDescent="0.25">
      <c r="D329" s="15"/>
    </row>
    <row r="330" spans="4:4" x14ac:dyDescent="0.25">
      <c r="D330" s="15"/>
    </row>
    <row r="331" spans="4:4" x14ac:dyDescent="0.25">
      <c r="D331" s="15"/>
    </row>
    <row r="332" spans="4:4" x14ac:dyDescent="0.25">
      <c r="D332" s="15"/>
    </row>
    <row r="333" spans="4:4" x14ac:dyDescent="0.25">
      <c r="D333" s="15"/>
    </row>
    <row r="334" spans="4:4" x14ac:dyDescent="0.25">
      <c r="D334" s="15"/>
    </row>
    <row r="335" spans="4:4" x14ac:dyDescent="0.25">
      <c r="D335" s="15"/>
    </row>
    <row r="336" spans="4:4" x14ac:dyDescent="0.25">
      <c r="D336" s="15"/>
    </row>
    <row r="337" spans="4:4" x14ac:dyDescent="0.25">
      <c r="D337" s="15"/>
    </row>
    <row r="338" spans="4:4" x14ac:dyDescent="0.25">
      <c r="D338" s="15"/>
    </row>
    <row r="339" spans="4:4" x14ac:dyDescent="0.25">
      <c r="D339" s="15"/>
    </row>
    <row r="340" spans="4:4" x14ac:dyDescent="0.25">
      <c r="D340" s="15"/>
    </row>
    <row r="341" spans="4:4" x14ac:dyDescent="0.25">
      <c r="D341" s="15"/>
    </row>
    <row r="342" spans="4:4" x14ac:dyDescent="0.25">
      <c r="D342" s="15"/>
    </row>
    <row r="343" spans="4:4" x14ac:dyDescent="0.25">
      <c r="D343" s="15"/>
    </row>
    <row r="344" spans="4:4" x14ac:dyDescent="0.25">
      <c r="D344" s="15"/>
    </row>
    <row r="345" spans="4:4" x14ac:dyDescent="0.25">
      <c r="D345" s="15"/>
    </row>
    <row r="346" spans="4:4" x14ac:dyDescent="0.25">
      <c r="D346" s="15"/>
    </row>
    <row r="347" spans="4:4" x14ac:dyDescent="0.25">
      <c r="D347" s="15"/>
    </row>
    <row r="348" spans="4:4" x14ac:dyDescent="0.25">
      <c r="D348" s="15"/>
    </row>
    <row r="349" spans="4:4" x14ac:dyDescent="0.25">
      <c r="D349" s="15"/>
    </row>
    <row r="350" spans="4:4" x14ac:dyDescent="0.25">
      <c r="D350" s="15"/>
    </row>
    <row r="351" spans="4:4" x14ac:dyDescent="0.25">
      <c r="D351" s="15"/>
    </row>
    <row r="352" spans="4:4" x14ac:dyDescent="0.25">
      <c r="D352" s="15"/>
    </row>
    <row r="353" spans="4:4" x14ac:dyDescent="0.25">
      <c r="D353" s="15"/>
    </row>
    <row r="354" spans="4:4" x14ac:dyDescent="0.25">
      <c r="D354" s="15"/>
    </row>
    <row r="355" spans="4:4" x14ac:dyDescent="0.25">
      <c r="D355" s="15"/>
    </row>
    <row r="356" spans="4:4" x14ac:dyDescent="0.25">
      <c r="D356" s="15"/>
    </row>
    <row r="357" spans="4:4" x14ac:dyDescent="0.25">
      <c r="D357" s="15"/>
    </row>
    <row r="358" spans="4:4" x14ac:dyDescent="0.25">
      <c r="D358" s="15"/>
    </row>
    <row r="359" spans="4:4" x14ac:dyDescent="0.25">
      <c r="D359" s="15"/>
    </row>
    <row r="360" spans="4:4" x14ac:dyDescent="0.25">
      <c r="D360" s="15"/>
    </row>
    <row r="361" spans="4:4" x14ac:dyDescent="0.25">
      <c r="D361" s="15"/>
    </row>
    <row r="362" spans="4:4" x14ac:dyDescent="0.25">
      <c r="D362" s="15"/>
    </row>
    <row r="363" spans="4:4" x14ac:dyDescent="0.25">
      <c r="D363" s="15"/>
    </row>
    <row r="364" spans="4:4" x14ac:dyDescent="0.25">
      <c r="D364" s="15"/>
    </row>
    <row r="365" spans="4:4" x14ac:dyDescent="0.25">
      <c r="D365" s="15"/>
    </row>
    <row r="366" spans="4:4" x14ac:dyDescent="0.25">
      <c r="D366" s="15"/>
    </row>
    <row r="367" spans="4:4" x14ac:dyDescent="0.25">
      <c r="D367" s="15"/>
    </row>
    <row r="368" spans="4:4" x14ac:dyDescent="0.25">
      <c r="D368" s="15"/>
    </row>
    <row r="369" spans="4:4" x14ac:dyDescent="0.25">
      <c r="D369" s="15"/>
    </row>
    <row r="370" spans="4:4" x14ac:dyDescent="0.25">
      <c r="D370" s="15"/>
    </row>
    <row r="371" spans="4:4" x14ac:dyDescent="0.25">
      <c r="D371" s="15"/>
    </row>
    <row r="372" spans="4:4" x14ac:dyDescent="0.25">
      <c r="D372" s="15"/>
    </row>
    <row r="373" spans="4:4" x14ac:dyDescent="0.25">
      <c r="D373" s="15"/>
    </row>
    <row r="374" spans="4:4" x14ac:dyDescent="0.25">
      <c r="D374" s="15"/>
    </row>
    <row r="375" spans="4:4" x14ac:dyDescent="0.25">
      <c r="D375" s="15"/>
    </row>
    <row r="376" spans="4:4" x14ac:dyDescent="0.25">
      <c r="D376" s="15"/>
    </row>
    <row r="377" spans="4:4" x14ac:dyDescent="0.25">
      <c r="D377" s="15"/>
    </row>
    <row r="378" spans="4:4" x14ac:dyDescent="0.25">
      <c r="D378" s="15"/>
    </row>
    <row r="379" spans="4:4" x14ac:dyDescent="0.25">
      <c r="D379" s="15"/>
    </row>
    <row r="380" spans="4:4" x14ac:dyDescent="0.25">
      <c r="D380" s="15"/>
    </row>
    <row r="381" spans="4:4" x14ac:dyDescent="0.25">
      <c r="D381" s="15"/>
    </row>
    <row r="382" spans="4:4" x14ac:dyDescent="0.25">
      <c r="D382" s="15"/>
    </row>
    <row r="383" spans="4:4" x14ac:dyDescent="0.25">
      <c r="D383" s="15"/>
    </row>
    <row r="384" spans="4:4" x14ac:dyDescent="0.25">
      <c r="D384" s="15"/>
    </row>
    <row r="385" spans="4:4" x14ac:dyDescent="0.25">
      <c r="D385" s="15"/>
    </row>
    <row r="386" spans="4:4" x14ac:dyDescent="0.25">
      <c r="D386" s="15"/>
    </row>
    <row r="387" spans="4:4" x14ac:dyDescent="0.25">
      <c r="D387" s="15"/>
    </row>
    <row r="388" spans="4:4" x14ac:dyDescent="0.25">
      <c r="D388" s="15"/>
    </row>
    <row r="389" spans="4:4" x14ac:dyDescent="0.25">
      <c r="D389" s="15"/>
    </row>
    <row r="390" spans="4:4" x14ac:dyDescent="0.25">
      <c r="D390" s="15"/>
    </row>
    <row r="391" spans="4:4" x14ac:dyDescent="0.25">
      <c r="D391" s="15"/>
    </row>
    <row r="392" spans="4:4" x14ac:dyDescent="0.25">
      <c r="D392" s="15"/>
    </row>
    <row r="393" spans="4:4" x14ac:dyDescent="0.25">
      <c r="D393" s="15"/>
    </row>
    <row r="394" spans="4:4" x14ac:dyDescent="0.25">
      <c r="D394" s="15"/>
    </row>
    <row r="395" spans="4:4" x14ac:dyDescent="0.25">
      <c r="D395" s="15"/>
    </row>
    <row r="396" spans="4:4" x14ac:dyDescent="0.25">
      <c r="D396" s="15"/>
    </row>
    <row r="397" spans="4:4" x14ac:dyDescent="0.25">
      <c r="D397" s="15"/>
    </row>
    <row r="398" spans="4:4" x14ac:dyDescent="0.25">
      <c r="D398" s="15"/>
    </row>
    <row r="399" spans="4:4" x14ac:dyDescent="0.25">
      <c r="D399" s="15"/>
    </row>
    <row r="400" spans="4:4" x14ac:dyDescent="0.25">
      <c r="D400" s="15"/>
    </row>
    <row r="401" spans="4:4" x14ac:dyDescent="0.25">
      <c r="D401" s="15"/>
    </row>
    <row r="402" spans="4:4" x14ac:dyDescent="0.25">
      <c r="D402" s="15"/>
    </row>
    <row r="403" spans="4:4" x14ac:dyDescent="0.25">
      <c r="D403" s="15"/>
    </row>
    <row r="404" spans="4:4" x14ac:dyDescent="0.25">
      <c r="D404" s="15"/>
    </row>
    <row r="405" spans="4:4" x14ac:dyDescent="0.25">
      <c r="D405" s="15"/>
    </row>
    <row r="406" spans="4:4" x14ac:dyDescent="0.25">
      <c r="D406" s="15"/>
    </row>
    <row r="407" spans="4:4" x14ac:dyDescent="0.25">
      <c r="D407" s="15"/>
    </row>
    <row r="408" spans="4:4" x14ac:dyDescent="0.25">
      <c r="D408" s="15"/>
    </row>
    <row r="409" spans="4:4" x14ac:dyDescent="0.25">
      <c r="D409" s="15"/>
    </row>
    <row r="410" spans="4:4" x14ac:dyDescent="0.25">
      <c r="D410" s="15"/>
    </row>
    <row r="411" spans="4:4" x14ac:dyDescent="0.25">
      <c r="D411" s="15"/>
    </row>
    <row r="412" spans="4:4" x14ac:dyDescent="0.25">
      <c r="D412" s="15"/>
    </row>
    <row r="413" spans="4:4" x14ac:dyDescent="0.25">
      <c r="D413" s="15"/>
    </row>
    <row r="414" spans="4:4" x14ac:dyDescent="0.25">
      <c r="D414" s="15"/>
    </row>
    <row r="415" spans="4:4" x14ac:dyDescent="0.25">
      <c r="D415" s="15"/>
    </row>
    <row r="416" spans="4:4" x14ac:dyDescent="0.25">
      <c r="D416" s="15"/>
    </row>
    <row r="417" spans="4:4" x14ac:dyDescent="0.25">
      <c r="D417" s="15"/>
    </row>
    <row r="418" spans="4:4" x14ac:dyDescent="0.25">
      <c r="D418" s="15"/>
    </row>
    <row r="419" spans="4:4" x14ac:dyDescent="0.25">
      <c r="D419" s="15"/>
    </row>
    <row r="420" spans="4:4" x14ac:dyDescent="0.25">
      <c r="D420" s="15"/>
    </row>
    <row r="421" spans="4:4" x14ac:dyDescent="0.25">
      <c r="D421" s="15"/>
    </row>
    <row r="422" spans="4:4" x14ac:dyDescent="0.25">
      <c r="D422" s="15"/>
    </row>
    <row r="423" spans="4:4" x14ac:dyDescent="0.25">
      <c r="D423" s="15"/>
    </row>
    <row r="424" spans="4:4" x14ac:dyDescent="0.25">
      <c r="D424" s="15"/>
    </row>
    <row r="425" spans="4:4" x14ac:dyDescent="0.25">
      <c r="D425" s="15"/>
    </row>
    <row r="426" spans="4:4" x14ac:dyDescent="0.25">
      <c r="D426" s="15"/>
    </row>
    <row r="427" spans="4:4" x14ac:dyDescent="0.25">
      <c r="D427" s="15"/>
    </row>
    <row r="428" spans="4:4" x14ac:dyDescent="0.25">
      <c r="D428" s="15"/>
    </row>
    <row r="429" spans="4:4" x14ac:dyDescent="0.25">
      <c r="D429" s="15"/>
    </row>
    <row r="430" spans="4:4" x14ac:dyDescent="0.25">
      <c r="D430" s="15"/>
    </row>
    <row r="431" spans="4:4" x14ac:dyDescent="0.25">
      <c r="D431" s="15"/>
    </row>
    <row r="432" spans="4:4" x14ac:dyDescent="0.25">
      <c r="D432" s="15"/>
    </row>
    <row r="433" spans="4:4" x14ac:dyDescent="0.25">
      <c r="D433" s="15"/>
    </row>
    <row r="434" spans="4:4" x14ac:dyDescent="0.25">
      <c r="D434" s="15"/>
    </row>
    <row r="435" spans="4:4" x14ac:dyDescent="0.25">
      <c r="D435" s="15"/>
    </row>
    <row r="436" spans="4:4" x14ac:dyDescent="0.25">
      <c r="D436" s="15"/>
    </row>
    <row r="437" spans="4:4" x14ac:dyDescent="0.25">
      <c r="D437" s="15"/>
    </row>
    <row r="438" spans="4:4" x14ac:dyDescent="0.25">
      <c r="D438" s="15"/>
    </row>
    <row r="439" spans="4:4" x14ac:dyDescent="0.25">
      <c r="D439" s="15"/>
    </row>
    <row r="440" spans="4:4" x14ac:dyDescent="0.25">
      <c r="D440" s="15"/>
    </row>
    <row r="441" spans="4:4" x14ac:dyDescent="0.25">
      <c r="D441" s="15"/>
    </row>
    <row r="442" spans="4:4" x14ac:dyDescent="0.25">
      <c r="D442" s="15"/>
    </row>
    <row r="443" spans="4:4" x14ac:dyDescent="0.25">
      <c r="D443" s="15"/>
    </row>
    <row r="444" spans="4:4" x14ac:dyDescent="0.25">
      <c r="D444" s="15"/>
    </row>
    <row r="445" spans="4:4" x14ac:dyDescent="0.25">
      <c r="D445" s="15"/>
    </row>
    <row r="446" spans="4:4" x14ac:dyDescent="0.25">
      <c r="D446" s="15"/>
    </row>
    <row r="447" spans="4:4" x14ac:dyDescent="0.25">
      <c r="D447" s="15"/>
    </row>
    <row r="448" spans="4:4" x14ac:dyDescent="0.25">
      <c r="D448" s="15"/>
    </row>
    <row r="449" spans="4:4" x14ac:dyDescent="0.25">
      <c r="D449" s="15"/>
    </row>
    <row r="450" spans="4:4" x14ac:dyDescent="0.25">
      <c r="D450" s="15"/>
    </row>
    <row r="451" spans="4:4" x14ac:dyDescent="0.25">
      <c r="D451" s="15"/>
    </row>
    <row r="452" spans="4:4" x14ac:dyDescent="0.25">
      <c r="D452" s="14"/>
    </row>
    <row r="453" spans="4:4" x14ac:dyDescent="0.25">
      <c r="D453" s="14"/>
    </row>
    <row r="454" spans="4:4" x14ac:dyDescent="0.25">
      <c r="D454" s="13"/>
    </row>
    <row r="455" spans="4:4" x14ac:dyDescent="0.25">
      <c r="D455" s="13"/>
    </row>
    <row r="456" spans="4:4" x14ac:dyDescent="0.25">
      <c r="D456" s="13"/>
    </row>
    <row r="457" spans="4:4" x14ac:dyDescent="0.25">
      <c r="D457" s="13"/>
    </row>
    <row r="458" spans="4:4" x14ac:dyDescent="0.25">
      <c r="D458" s="13"/>
    </row>
    <row r="459" spans="4:4" x14ac:dyDescent="0.25">
      <c r="D459" s="13"/>
    </row>
    <row r="460" spans="4:4" x14ac:dyDescent="0.25">
      <c r="D460" s="13"/>
    </row>
    <row r="461" spans="4:4" x14ac:dyDescent="0.25">
      <c r="D461" s="13"/>
    </row>
  </sheetData>
  <phoneticPr fontId="5" type="noConversion"/>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31</vt:i4>
      </vt:variant>
    </vt:vector>
  </HeadingPairs>
  <TitlesOfParts>
    <vt:vector size="31" baseType="lpstr">
      <vt:lpstr>GeneralNotes</vt:lpstr>
      <vt:lpstr>Usage_Types</vt:lpstr>
      <vt:lpstr>Orientation</vt:lpstr>
      <vt:lpstr>Constants</vt:lpstr>
      <vt:lpstr>B1</vt:lpstr>
      <vt:lpstr>B2</vt:lpstr>
      <vt:lpstr>C1</vt:lpstr>
      <vt:lpstr>C2</vt:lpstr>
      <vt:lpstr>01</vt:lpstr>
      <vt:lpstr>02</vt:lpstr>
      <vt:lpstr>03</vt:lpstr>
      <vt:lpstr>04</vt:lpstr>
      <vt:lpstr>05</vt:lpstr>
      <vt:lpstr>06</vt:lpstr>
      <vt:lpstr>07</vt:lpstr>
      <vt:lpstr>08</vt:lpstr>
      <vt:lpstr>09</vt:lpstr>
      <vt:lpstr>11</vt:lpstr>
      <vt:lpstr>12</vt:lpstr>
      <vt:lpstr>13</vt:lpstr>
      <vt:lpstr>14</vt:lpstr>
      <vt:lpstr>15</vt:lpstr>
      <vt:lpstr>16</vt:lpstr>
      <vt:lpstr>17</vt:lpstr>
      <vt:lpstr>18</vt:lpstr>
      <vt:lpstr>19</vt:lpstr>
      <vt:lpstr>20</vt:lpstr>
      <vt:lpstr>21</vt:lpstr>
      <vt:lpstr>22</vt:lpstr>
      <vt:lpstr>23</vt:lpstr>
      <vt:lpstr>24</vt:lpstr>
    </vt:vector>
  </TitlesOfParts>
  <Company>E.ON Energy Research Center</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Rahme, Lichaa-Antoine</dc:creator>
  <cp:lastModifiedBy>Raetz, Martin</cp:lastModifiedBy>
  <dcterms:created xsi:type="dcterms:W3CDTF">2018-12-06T14:07:49Z</dcterms:created>
  <dcterms:modified xsi:type="dcterms:W3CDTF">2020-05-12T15:50:23Z</dcterms:modified>
</cp:coreProperties>
</file>